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eigenmann/Documents/Swiss Roundnet/2_Ranking/"/>
    </mc:Choice>
  </mc:AlternateContent>
  <xr:revisionPtr revIDLastSave="0" documentId="13_ncr:1_{7576368E-8F7A-744C-BC23-A05FD8FDF4F4}" xr6:coauthVersionLast="47" xr6:coauthVersionMax="47" xr10:uidLastSave="{00000000-0000-0000-0000-000000000000}"/>
  <bookViews>
    <workbookView xWindow="0" yWindow="480" windowWidth="28800" windowHeight="16420" activeTab="1" xr2:uid="{00000000-000D-0000-FFFF-FFFF00000000}"/>
  </bookViews>
  <sheets>
    <sheet name="Übersicht &amp; Infos" sheetId="53" r:id="rId1"/>
    <sheet name="&gt; Open &lt;" sheetId="51" r:id="rId2"/>
    <sheet name="&gt; Women &lt;" sheetId="52" r:id="rId3"/>
    <sheet name="&gt; Mixed &lt;" sheetId="36" r:id="rId4"/>
  </sheets>
  <definedNames>
    <definedName name="_xlnm._FilterDatabase" localSheetId="1" hidden="1">'&gt; Open &lt;'!$BD$6:$BI$64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51" l="1"/>
  <c r="L8" i="51"/>
  <c r="L11" i="51"/>
  <c r="L13" i="51"/>
  <c r="L9" i="51"/>
  <c r="L10" i="51"/>
  <c r="L12" i="51"/>
  <c r="L15" i="51"/>
  <c r="L20" i="51"/>
  <c r="L14" i="51"/>
  <c r="L22" i="51"/>
  <c r="L17" i="51"/>
  <c r="L27" i="51"/>
  <c r="L35" i="51"/>
  <c r="L28" i="51"/>
  <c r="L68" i="51"/>
  <c r="L16" i="51"/>
  <c r="L19" i="51"/>
  <c r="L18" i="51"/>
  <c r="L30" i="51"/>
  <c r="L31" i="51"/>
  <c r="L23" i="51"/>
  <c r="L32" i="51"/>
  <c r="L33" i="51"/>
  <c r="L43" i="51"/>
  <c r="L24" i="51"/>
  <c r="L21" i="51"/>
  <c r="L47" i="51"/>
  <c r="L36" i="51"/>
  <c r="L50" i="51"/>
  <c r="L25" i="51"/>
  <c r="L211" i="51"/>
  <c r="L212" i="51"/>
  <c r="L58" i="51"/>
  <c r="L213" i="51"/>
  <c r="L214" i="51"/>
  <c r="L26" i="51"/>
  <c r="L44" i="51"/>
  <c r="L34" i="51"/>
  <c r="L39" i="51"/>
  <c r="L132" i="51"/>
  <c r="L42" i="51"/>
  <c r="L62" i="51"/>
  <c r="L52" i="51"/>
  <c r="L40" i="51"/>
  <c r="L41" i="51"/>
  <c r="L48" i="51"/>
  <c r="L66" i="51"/>
  <c r="L129" i="51"/>
  <c r="L130" i="51"/>
  <c r="L102" i="51"/>
  <c r="L45" i="51"/>
  <c r="L46" i="51"/>
  <c r="L72" i="51"/>
  <c r="L80" i="51"/>
  <c r="L53" i="51"/>
  <c r="L59" i="51"/>
  <c r="L103" i="51"/>
  <c r="L73" i="51"/>
  <c r="L55" i="51"/>
  <c r="L215" i="51"/>
  <c r="L216" i="51"/>
  <c r="L51" i="51"/>
  <c r="L217" i="51"/>
  <c r="L218" i="51"/>
  <c r="L54" i="51"/>
  <c r="L71" i="51"/>
  <c r="L57" i="51"/>
  <c r="L64" i="51"/>
  <c r="L81" i="51"/>
  <c r="L97" i="51"/>
  <c r="L63" i="51"/>
  <c r="L219" i="51"/>
  <c r="L220" i="51"/>
  <c r="L221" i="51"/>
  <c r="L222" i="51"/>
  <c r="L69" i="51"/>
  <c r="L67" i="51"/>
  <c r="L75" i="51"/>
  <c r="L223" i="51"/>
  <c r="L78" i="51"/>
  <c r="L224" i="51"/>
  <c r="L76" i="51"/>
  <c r="L70" i="51"/>
  <c r="L225" i="51"/>
  <c r="L90" i="51"/>
  <c r="L226" i="51"/>
  <c r="L163" i="51"/>
  <c r="L227" i="51"/>
  <c r="L89" i="51"/>
  <c r="L228" i="51"/>
  <c r="L229" i="51"/>
  <c r="L82" i="51"/>
  <c r="L83" i="51"/>
  <c r="L84" i="51"/>
  <c r="L85" i="51"/>
  <c r="L86" i="51"/>
  <c r="L87" i="51"/>
  <c r="L88" i="51"/>
  <c r="L230" i="51"/>
  <c r="L127" i="51"/>
  <c r="L91" i="51"/>
  <c r="L231" i="51"/>
  <c r="L232" i="51"/>
  <c r="L172" i="51"/>
  <c r="L233" i="51"/>
  <c r="L234" i="51"/>
  <c r="L235" i="51"/>
  <c r="L236" i="51"/>
  <c r="L237" i="51"/>
  <c r="L117" i="51"/>
  <c r="L238" i="51"/>
  <c r="L123" i="51"/>
  <c r="L124" i="51"/>
  <c r="L173" i="51"/>
  <c r="L185" i="51"/>
  <c r="L131" i="51"/>
  <c r="L244" i="51"/>
  <c r="L245" i="51"/>
  <c r="L246" i="51"/>
  <c r="L133" i="51"/>
  <c r="L118" i="51"/>
  <c r="L119" i="51"/>
  <c r="L120" i="51"/>
  <c r="L247" i="51"/>
  <c r="L248" i="51"/>
  <c r="L164" i="51"/>
  <c r="L174" i="51"/>
  <c r="L249" i="51"/>
  <c r="L134" i="51"/>
  <c r="L135" i="51"/>
  <c r="L250" i="51"/>
  <c r="L142" i="51"/>
  <c r="L175" i="51"/>
  <c r="L186" i="51"/>
  <c r="L251" i="51"/>
  <c r="L252" i="51"/>
  <c r="L253" i="51"/>
  <c r="L254" i="51"/>
  <c r="L255" i="51"/>
  <c r="L256" i="51"/>
  <c r="L198" i="51"/>
  <c r="L199" i="51"/>
  <c r="L200" i="51"/>
  <c r="L257" i="51"/>
  <c r="L258" i="51"/>
  <c r="L259" i="51"/>
  <c r="L260" i="51"/>
  <c r="L261" i="51"/>
  <c r="L262" i="51"/>
  <c r="L263" i="51"/>
  <c r="L264" i="51"/>
  <c r="L265" i="51"/>
  <c r="L266" i="51"/>
  <c r="L267" i="51"/>
  <c r="L268" i="51"/>
  <c r="L269" i="51"/>
  <c r="L270" i="51"/>
  <c r="L271" i="51"/>
  <c r="L272" i="51"/>
  <c r="L273" i="51"/>
  <c r="L274" i="51"/>
  <c r="L275" i="51"/>
  <c r="L276" i="51"/>
  <c r="L277" i="51"/>
  <c r="L278" i="51"/>
  <c r="L279" i="51"/>
  <c r="L280" i="51"/>
  <c r="L281" i="51"/>
  <c r="L282" i="51"/>
  <c r="L283" i="51"/>
  <c r="L284" i="51"/>
  <c r="L285" i="51"/>
  <c r="L286" i="51"/>
  <c r="L165" i="51"/>
  <c r="L176" i="51"/>
  <c r="L297" i="51"/>
  <c r="L298" i="51"/>
  <c r="L299" i="51"/>
  <c r="L300" i="51"/>
  <c r="L301" i="51"/>
  <c r="L302" i="51"/>
  <c r="L303" i="51"/>
  <c r="L304" i="51"/>
  <c r="L305" i="51"/>
  <c r="L306" i="51"/>
  <c r="L307" i="51"/>
  <c r="L308" i="51"/>
  <c r="L309" i="51"/>
  <c r="L310" i="51"/>
  <c r="L311" i="51"/>
  <c r="L312" i="51"/>
  <c r="L313" i="51"/>
  <c r="L314" i="51"/>
  <c r="L315" i="51"/>
  <c r="L316" i="51"/>
  <c r="L317" i="51"/>
  <c r="L318" i="51"/>
  <c r="L319" i="51"/>
  <c r="L320" i="51"/>
  <c r="L321" i="51"/>
  <c r="L322" i="51"/>
  <c r="L323" i="51"/>
  <c r="L324" i="51"/>
  <c r="L325" i="51"/>
  <c r="L326" i="51"/>
  <c r="L327" i="51"/>
  <c r="L328" i="51"/>
  <c r="L329" i="51"/>
  <c r="L330" i="51"/>
  <c r="L331" i="51"/>
  <c r="L332" i="51"/>
  <c r="L333" i="51"/>
  <c r="L334" i="51"/>
  <c r="L335" i="51"/>
  <c r="L336" i="51"/>
  <c r="L337" i="51"/>
  <c r="L338" i="51"/>
  <c r="L339" i="51"/>
  <c r="L340" i="51"/>
  <c r="L341" i="51"/>
  <c r="L342" i="51"/>
  <c r="L343" i="51"/>
  <c r="L344" i="51"/>
  <c r="L345" i="51"/>
  <c r="L346" i="51"/>
  <c r="L347" i="51"/>
  <c r="L348" i="51"/>
  <c r="L349" i="51"/>
  <c r="L350" i="51"/>
  <c r="L351" i="51"/>
  <c r="L352" i="51"/>
  <c r="L353" i="51"/>
  <c r="L354" i="51"/>
  <c r="L355" i="51"/>
  <c r="L356" i="51"/>
  <c r="L357" i="51"/>
  <c r="L358" i="51"/>
  <c r="L359" i="51"/>
  <c r="L360" i="51"/>
  <c r="L361" i="51"/>
  <c r="W8" i="52" l="1"/>
  <c r="W9" i="52"/>
  <c r="W10" i="52"/>
  <c r="W11" i="52"/>
  <c r="W12" i="52"/>
  <c r="W13" i="52"/>
  <c r="W14" i="52"/>
  <c r="W15" i="52"/>
  <c r="W16" i="52"/>
  <c r="W17" i="52"/>
  <c r="W18" i="52"/>
  <c r="W19" i="52"/>
  <c r="W20" i="52"/>
  <c r="W21" i="52"/>
  <c r="W22" i="52"/>
  <c r="W23" i="52"/>
  <c r="W24" i="52"/>
  <c r="W25" i="52"/>
  <c r="W26" i="52"/>
  <c r="W27" i="52"/>
  <c r="W28" i="52"/>
  <c r="W29" i="52"/>
  <c r="W30" i="52"/>
  <c r="W31" i="52"/>
  <c r="W32" i="52"/>
  <c r="W33" i="52"/>
  <c r="W34" i="52"/>
  <c r="W35" i="52"/>
  <c r="W36" i="52"/>
  <c r="W37" i="52"/>
  <c r="W38" i="52"/>
  <c r="W39" i="52"/>
  <c r="W40" i="52"/>
  <c r="W41" i="52"/>
  <c r="W42" i="52"/>
  <c r="W43" i="52"/>
  <c r="W44" i="52"/>
  <c r="W45" i="52"/>
  <c r="W46" i="52"/>
  <c r="W47" i="52"/>
  <c r="W48" i="52"/>
  <c r="W49" i="52"/>
  <c r="W50" i="52"/>
  <c r="W51" i="52"/>
  <c r="W52" i="52"/>
  <c r="W53" i="52"/>
  <c r="W54" i="52"/>
  <c r="W55" i="52"/>
  <c r="W56" i="52"/>
  <c r="W57" i="52"/>
  <c r="W58" i="52"/>
  <c r="W59" i="52"/>
  <c r="W60" i="52"/>
  <c r="W61" i="52"/>
  <c r="W62" i="52"/>
  <c r="W63" i="52"/>
  <c r="W64" i="52"/>
  <c r="W65" i="52"/>
  <c r="W66" i="52"/>
  <c r="W67" i="52"/>
  <c r="W68" i="52"/>
  <c r="W69" i="52"/>
  <c r="W70" i="52"/>
  <c r="W71" i="52"/>
  <c r="W72" i="52"/>
  <c r="W73" i="52"/>
  <c r="W74" i="52"/>
  <c r="W75" i="52"/>
  <c r="W76" i="52"/>
  <c r="W77" i="52"/>
  <c r="W78" i="52"/>
  <c r="W79" i="52"/>
  <c r="W80" i="52"/>
  <c r="W81" i="52"/>
  <c r="W82" i="52"/>
  <c r="W83" i="52"/>
  <c r="W84" i="52"/>
  <c r="W85" i="52"/>
  <c r="W86" i="52"/>
  <c r="W87" i="52"/>
  <c r="W88" i="52"/>
  <c r="W89" i="52"/>
  <c r="W90" i="52"/>
  <c r="W91" i="52"/>
  <c r="W92" i="52"/>
  <c r="W93" i="52"/>
  <c r="W94" i="52"/>
  <c r="W95" i="52"/>
  <c r="W96" i="52"/>
  <c r="W97" i="52"/>
  <c r="W98" i="52"/>
  <c r="W99" i="52"/>
  <c r="W100" i="52"/>
  <c r="W101" i="52"/>
  <c r="W102" i="52"/>
  <c r="W103" i="52"/>
  <c r="W104" i="52"/>
  <c r="W105" i="52"/>
  <c r="W106" i="52"/>
  <c r="W107" i="52"/>
  <c r="W108" i="52"/>
  <c r="W7" i="52"/>
  <c r="S107" i="52"/>
  <c r="T107" i="52"/>
  <c r="U107" i="52"/>
  <c r="S108" i="52"/>
  <c r="T108" i="52"/>
  <c r="U108" i="52"/>
  <c r="T7" i="52"/>
  <c r="T8" i="52"/>
  <c r="T9" i="52"/>
  <c r="T10" i="52"/>
  <c r="T11" i="52"/>
  <c r="T12" i="52"/>
  <c r="T13" i="52"/>
  <c r="T14" i="52"/>
  <c r="T15" i="52"/>
  <c r="T16" i="52"/>
  <c r="T17" i="52"/>
  <c r="T18" i="52"/>
  <c r="T19" i="52"/>
  <c r="T20" i="52"/>
  <c r="T21" i="52"/>
  <c r="T22" i="52"/>
  <c r="T23" i="52"/>
  <c r="T24" i="52"/>
  <c r="T25" i="52"/>
  <c r="T26" i="52"/>
  <c r="T27" i="52"/>
  <c r="T28" i="52"/>
  <c r="T29" i="52"/>
  <c r="T30" i="52"/>
  <c r="T31" i="52"/>
  <c r="T32" i="52"/>
  <c r="T33" i="52"/>
  <c r="T34" i="52"/>
  <c r="T35" i="52"/>
  <c r="T36" i="52"/>
  <c r="T37" i="52"/>
  <c r="T38" i="52"/>
  <c r="T39" i="52"/>
  <c r="T40" i="52"/>
  <c r="T41" i="52"/>
  <c r="T42" i="52"/>
  <c r="T43" i="52"/>
  <c r="T44" i="52"/>
  <c r="T45" i="52"/>
  <c r="T46" i="52"/>
  <c r="T47" i="52"/>
  <c r="T48" i="52"/>
  <c r="T49" i="52"/>
  <c r="T50" i="52"/>
  <c r="T51" i="52"/>
  <c r="T52" i="52"/>
  <c r="T53" i="52"/>
  <c r="T54" i="52"/>
  <c r="T55" i="52"/>
  <c r="T56" i="52"/>
  <c r="T57" i="52"/>
  <c r="T58" i="52"/>
  <c r="T59" i="52"/>
  <c r="T60" i="52"/>
  <c r="T61" i="52"/>
  <c r="T62" i="52"/>
  <c r="T63" i="52"/>
  <c r="T64" i="52"/>
  <c r="T65" i="52"/>
  <c r="T66" i="52"/>
  <c r="T67" i="52"/>
  <c r="T68" i="52"/>
  <c r="T69" i="52"/>
  <c r="T70" i="52"/>
  <c r="T71" i="52"/>
  <c r="T72" i="52"/>
  <c r="T73" i="52"/>
  <c r="T74" i="52"/>
  <c r="T75" i="52"/>
  <c r="T76" i="52"/>
  <c r="T77" i="52"/>
  <c r="T78" i="52"/>
  <c r="T79" i="52"/>
  <c r="T80" i="52"/>
  <c r="T81" i="52"/>
  <c r="T82" i="52"/>
  <c r="T83" i="52"/>
  <c r="T84" i="52"/>
  <c r="T85" i="52"/>
  <c r="T86" i="52"/>
  <c r="T87" i="52"/>
  <c r="T88" i="52"/>
  <c r="T89" i="52"/>
  <c r="T90" i="52"/>
  <c r="T91" i="52"/>
  <c r="T92" i="52"/>
  <c r="T93" i="52"/>
  <c r="T94" i="52"/>
  <c r="T95" i="52"/>
  <c r="T96" i="52"/>
  <c r="T97" i="52"/>
  <c r="T98" i="52"/>
  <c r="T99" i="52"/>
  <c r="T100" i="52"/>
  <c r="T101" i="52"/>
  <c r="T102" i="52"/>
  <c r="T103" i="52"/>
  <c r="T104" i="52"/>
  <c r="T105" i="52"/>
  <c r="T106" i="52"/>
  <c r="U7" i="52"/>
  <c r="U8" i="52"/>
  <c r="U9" i="52"/>
  <c r="U10" i="52"/>
  <c r="U11" i="52"/>
  <c r="U12" i="52"/>
  <c r="U13" i="52"/>
  <c r="U14" i="52"/>
  <c r="U15" i="52"/>
  <c r="U16" i="52"/>
  <c r="U17" i="52"/>
  <c r="U18" i="52"/>
  <c r="U19" i="52"/>
  <c r="U20" i="52"/>
  <c r="U21" i="52"/>
  <c r="U22" i="52"/>
  <c r="U23" i="52"/>
  <c r="U24" i="52"/>
  <c r="U25" i="52"/>
  <c r="U26" i="52"/>
  <c r="U27" i="52"/>
  <c r="U28" i="52"/>
  <c r="U29" i="52"/>
  <c r="U30" i="52"/>
  <c r="U31" i="52"/>
  <c r="U32" i="52"/>
  <c r="U33" i="52"/>
  <c r="U34" i="52"/>
  <c r="U35" i="52"/>
  <c r="U36" i="52"/>
  <c r="U37" i="52"/>
  <c r="U38" i="52"/>
  <c r="U39" i="52"/>
  <c r="U40" i="52"/>
  <c r="U41" i="52"/>
  <c r="U42" i="52"/>
  <c r="U43" i="52"/>
  <c r="U44" i="52"/>
  <c r="U45" i="52"/>
  <c r="U46" i="52"/>
  <c r="U47" i="52"/>
  <c r="U48" i="52"/>
  <c r="U49" i="52"/>
  <c r="U50" i="52"/>
  <c r="U51" i="52"/>
  <c r="U52" i="52"/>
  <c r="U53" i="52"/>
  <c r="U54" i="52"/>
  <c r="U55" i="52"/>
  <c r="U56" i="52"/>
  <c r="U57" i="52"/>
  <c r="U58" i="52"/>
  <c r="U59" i="52"/>
  <c r="U60" i="52"/>
  <c r="U61" i="52"/>
  <c r="U62" i="52"/>
  <c r="U63" i="52"/>
  <c r="U64" i="52"/>
  <c r="U65" i="52"/>
  <c r="U66" i="52"/>
  <c r="U67" i="52"/>
  <c r="U68" i="52"/>
  <c r="U69" i="52"/>
  <c r="U70" i="52"/>
  <c r="U71" i="52"/>
  <c r="U72" i="52"/>
  <c r="U73" i="52"/>
  <c r="U74" i="52"/>
  <c r="U75" i="52"/>
  <c r="U76" i="52"/>
  <c r="U77" i="52"/>
  <c r="U78" i="52"/>
  <c r="U79" i="52"/>
  <c r="U80" i="52"/>
  <c r="U81" i="52"/>
  <c r="U82" i="52"/>
  <c r="U83" i="52"/>
  <c r="U84" i="52"/>
  <c r="U85" i="52"/>
  <c r="U86" i="52"/>
  <c r="U87" i="52"/>
  <c r="U88" i="52"/>
  <c r="U89" i="52"/>
  <c r="U90" i="52"/>
  <c r="U91" i="52"/>
  <c r="U92" i="52"/>
  <c r="U93" i="52"/>
  <c r="U94" i="52"/>
  <c r="U95" i="52"/>
  <c r="U96" i="52"/>
  <c r="U97" i="52"/>
  <c r="U98" i="52"/>
  <c r="U99" i="52"/>
  <c r="U100" i="52"/>
  <c r="U101" i="52"/>
  <c r="U102" i="52"/>
  <c r="U103" i="52"/>
  <c r="U104" i="52"/>
  <c r="U105" i="52"/>
  <c r="U106" i="52"/>
  <c r="V7" i="52"/>
  <c r="V9" i="52" s="1"/>
  <c r="V11" i="52" s="1"/>
  <c r="V13" i="52" s="1"/>
  <c r="V15" i="52" s="1"/>
  <c r="V17" i="52" s="1"/>
  <c r="V19" i="52" s="1"/>
  <c r="V21" i="52" s="1"/>
  <c r="V23" i="52" s="1"/>
  <c r="V25" i="52" s="1"/>
  <c r="V27" i="52" s="1"/>
  <c r="V29" i="52" s="1"/>
  <c r="V31" i="52" s="1"/>
  <c r="V33" i="52" s="1"/>
  <c r="V35" i="52" s="1"/>
  <c r="V37" i="52" s="1"/>
  <c r="V39" i="52" s="1"/>
  <c r="V41" i="52" s="1"/>
  <c r="V43" i="52" s="1"/>
  <c r="V45" i="52" s="1"/>
  <c r="V47" i="52" s="1"/>
  <c r="V49" i="52" s="1"/>
  <c r="V51" i="52" s="1"/>
  <c r="V53" i="52" s="1"/>
  <c r="V55" i="52" s="1"/>
  <c r="V57" i="52" s="1"/>
  <c r="V59" i="52" s="1"/>
  <c r="V61" i="52" s="1"/>
  <c r="V63" i="52" s="1"/>
  <c r="V65" i="52" s="1"/>
  <c r="V67" i="52" s="1"/>
  <c r="V69" i="52" s="1"/>
  <c r="V71" i="52" s="1"/>
  <c r="V73" i="52" s="1"/>
  <c r="V75" i="52" s="1"/>
  <c r="V77" i="52" s="1"/>
  <c r="V79" i="52" s="1"/>
  <c r="V81" i="52" s="1"/>
  <c r="V83" i="52" s="1"/>
  <c r="V85" i="52" s="1"/>
  <c r="V87" i="52" s="1"/>
  <c r="V89" i="52" s="1"/>
  <c r="V91" i="52" s="1"/>
  <c r="V93" i="52" s="1"/>
  <c r="V95" i="52" s="1"/>
  <c r="V97" i="52" s="1"/>
  <c r="V99" i="52" s="1"/>
  <c r="V101" i="52" s="1"/>
  <c r="V103" i="52" s="1"/>
  <c r="V105" i="52" s="1"/>
  <c r="V107" i="52" s="1"/>
  <c r="V8" i="52"/>
  <c r="V10" i="52" s="1"/>
  <c r="V12" i="52" s="1"/>
  <c r="V14" i="52" s="1"/>
  <c r="V16" i="52" s="1"/>
  <c r="V18" i="52" s="1"/>
  <c r="V20" i="52" s="1"/>
  <c r="V22" i="52" s="1"/>
  <c r="V24" i="52" s="1"/>
  <c r="V26" i="52" s="1"/>
  <c r="V28" i="52" s="1"/>
  <c r="V30" i="52" s="1"/>
  <c r="V32" i="52" s="1"/>
  <c r="V34" i="52" s="1"/>
  <c r="V36" i="52" s="1"/>
  <c r="V38" i="52" s="1"/>
  <c r="V40" i="52" s="1"/>
  <c r="V42" i="52" s="1"/>
  <c r="V44" i="52" s="1"/>
  <c r="V46" i="52" s="1"/>
  <c r="V48" i="52" s="1"/>
  <c r="V50" i="52" s="1"/>
  <c r="V52" i="52" s="1"/>
  <c r="V54" i="52" s="1"/>
  <c r="V56" i="52" s="1"/>
  <c r="V58" i="52" s="1"/>
  <c r="V60" i="52" s="1"/>
  <c r="V62" i="52" s="1"/>
  <c r="V64" i="52" s="1"/>
  <c r="V66" i="52" s="1"/>
  <c r="V68" i="52" s="1"/>
  <c r="V70" i="52" s="1"/>
  <c r="V72" i="52" s="1"/>
  <c r="V74" i="52" s="1"/>
  <c r="V76" i="52" s="1"/>
  <c r="V78" i="52" s="1"/>
  <c r="V80" i="52" s="1"/>
  <c r="V82" i="52" s="1"/>
  <c r="V84" i="52" s="1"/>
  <c r="V86" i="52" s="1"/>
  <c r="V88" i="52" s="1"/>
  <c r="V90" i="52" s="1"/>
  <c r="V92" i="52" s="1"/>
  <c r="V94" i="52" s="1"/>
  <c r="V96" i="52" s="1"/>
  <c r="V98" i="52" s="1"/>
  <c r="V100" i="52" s="1"/>
  <c r="V102" i="52" s="1"/>
  <c r="V104" i="52" s="1"/>
  <c r="V106" i="52" s="1"/>
  <c r="V108" i="52" s="1"/>
  <c r="L108" i="52"/>
  <c r="M108" i="52"/>
  <c r="N108" i="52"/>
  <c r="O108" i="52"/>
  <c r="P108" i="52"/>
  <c r="Q108" i="52"/>
  <c r="R108" i="52"/>
  <c r="T197" i="51"/>
  <c r="T196" i="51"/>
  <c r="T7" i="51"/>
  <c r="T8" i="51"/>
  <c r="T12" i="51"/>
  <c r="T14" i="51"/>
  <c r="T9" i="51"/>
  <c r="T10" i="51"/>
  <c r="T11" i="51"/>
  <c r="T13" i="51"/>
  <c r="T22" i="51"/>
  <c r="T23" i="51"/>
  <c r="T17" i="51"/>
  <c r="T28" i="51"/>
  <c r="T15" i="51"/>
  <c r="T20" i="51"/>
  <c r="T19" i="51"/>
  <c r="T36" i="51"/>
  <c r="T42" i="51"/>
  <c r="T48" i="51"/>
  <c r="T27" i="51"/>
  <c r="T35" i="51"/>
  <c r="T16" i="51"/>
  <c r="T18" i="51"/>
  <c r="T21" i="51"/>
  <c r="T45" i="51"/>
  <c r="T47" i="51"/>
  <c r="T44" i="51"/>
  <c r="T39" i="51"/>
  <c r="T40" i="51"/>
  <c r="T41" i="51"/>
  <c r="T46" i="51"/>
  <c r="T30" i="51"/>
  <c r="T31" i="51"/>
  <c r="T77" i="51"/>
  <c r="T78" i="51"/>
  <c r="T68" i="51"/>
  <c r="T43" i="51"/>
  <c r="T58" i="51"/>
  <c r="T102" i="51"/>
  <c r="T75" i="51"/>
  <c r="T131" i="51"/>
  <c r="T62" i="51"/>
  <c r="T74" i="51"/>
  <c r="T54" i="51"/>
  <c r="T71" i="51"/>
  <c r="T51" i="51"/>
  <c r="T69" i="51"/>
  <c r="T55" i="51"/>
  <c r="T67" i="51"/>
  <c r="T72" i="51"/>
  <c r="T73" i="51"/>
  <c r="T59" i="51"/>
  <c r="T60" i="51"/>
  <c r="T49" i="51"/>
  <c r="T57" i="51"/>
  <c r="T129" i="51"/>
  <c r="T130" i="51"/>
  <c r="T53" i="51"/>
  <c r="T91" i="51"/>
  <c r="T76" i="51"/>
  <c r="T70" i="51"/>
  <c r="T50" i="51"/>
  <c r="T56" i="51"/>
  <c r="T61" i="51"/>
  <c r="T117" i="51"/>
  <c r="T26" i="51"/>
  <c r="T63" i="51"/>
  <c r="T185" i="51"/>
  <c r="T126" i="51"/>
  <c r="T186" i="51"/>
  <c r="T187" i="51"/>
  <c r="T188" i="51"/>
  <c r="T189" i="51"/>
  <c r="T32" i="51"/>
  <c r="T33" i="51"/>
  <c r="T24" i="51"/>
  <c r="T25" i="51"/>
  <c r="T211" i="51"/>
  <c r="T212" i="51"/>
  <c r="T213" i="51"/>
  <c r="T214" i="51"/>
  <c r="T29" i="51"/>
  <c r="T34" i="51"/>
  <c r="T37" i="51"/>
  <c r="T132" i="51"/>
  <c r="T38" i="51"/>
  <c r="T52" i="51"/>
  <c r="T66" i="51"/>
  <c r="T80" i="51"/>
  <c r="T103" i="51"/>
  <c r="T215" i="51"/>
  <c r="T216" i="51"/>
  <c r="T217" i="51"/>
  <c r="T218" i="51"/>
  <c r="T92" i="51"/>
  <c r="T93" i="51"/>
  <c r="T64" i="51"/>
  <c r="T81" i="51"/>
  <c r="T97" i="51"/>
  <c r="T219" i="51"/>
  <c r="T220" i="51"/>
  <c r="T221" i="51"/>
  <c r="T222" i="51"/>
  <c r="T65" i="51"/>
  <c r="T223" i="51"/>
  <c r="T224" i="51"/>
  <c r="T225" i="51"/>
  <c r="T90" i="51"/>
  <c r="T226" i="51"/>
  <c r="T163" i="51"/>
  <c r="T227" i="51"/>
  <c r="T89" i="51"/>
  <c r="T228" i="51"/>
  <c r="T79" i="51"/>
  <c r="T229" i="51"/>
  <c r="T82" i="51"/>
  <c r="T83" i="51"/>
  <c r="T84" i="51"/>
  <c r="T85" i="51"/>
  <c r="T86" i="51"/>
  <c r="T87" i="51"/>
  <c r="T88" i="51"/>
  <c r="T230" i="51"/>
  <c r="T231" i="51"/>
  <c r="T232" i="51"/>
  <c r="T94" i="51"/>
  <c r="T95" i="51"/>
  <c r="T172" i="51"/>
  <c r="T233" i="51"/>
  <c r="T234" i="51"/>
  <c r="T235" i="51"/>
  <c r="T236" i="51"/>
  <c r="T237" i="51"/>
  <c r="T98" i="51"/>
  <c r="T99" i="51"/>
  <c r="T100" i="51"/>
  <c r="T101" i="51"/>
  <c r="T104" i="51"/>
  <c r="T105" i="51"/>
  <c r="T106" i="51"/>
  <c r="T107" i="51"/>
  <c r="T108" i="51"/>
  <c r="T109" i="51"/>
  <c r="T110" i="51"/>
  <c r="T238" i="51"/>
  <c r="T111" i="51"/>
  <c r="T239" i="51"/>
  <c r="T240" i="51"/>
  <c r="T241" i="51"/>
  <c r="T242" i="51"/>
  <c r="T243" i="51"/>
  <c r="T173" i="51"/>
  <c r="T112" i="51"/>
  <c r="T113" i="51"/>
  <c r="T244" i="51"/>
  <c r="T245" i="51"/>
  <c r="T246" i="51"/>
  <c r="T115" i="51"/>
  <c r="T116" i="51"/>
  <c r="T133" i="51"/>
  <c r="T127" i="51"/>
  <c r="T118" i="51"/>
  <c r="T119" i="51"/>
  <c r="T120" i="51"/>
  <c r="T247" i="51"/>
  <c r="T248" i="51"/>
  <c r="T164" i="51"/>
  <c r="T174" i="51"/>
  <c r="T121" i="51"/>
  <c r="T122" i="51"/>
  <c r="T249" i="51"/>
  <c r="T125" i="51"/>
  <c r="T250" i="51"/>
  <c r="T138" i="51"/>
  <c r="T139" i="51"/>
  <c r="T140" i="51"/>
  <c r="T141" i="51"/>
  <c r="T142" i="51"/>
  <c r="T175" i="51"/>
  <c r="T251" i="51"/>
  <c r="T252" i="51"/>
  <c r="T253" i="51"/>
  <c r="T254" i="51"/>
  <c r="T255" i="51"/>
  <c r="T256" i="51"/>
  <c r="T257" i="51"/>
  <c r="T258" i="51"/>
  <c r="T259" i="51"/>
  <c r="T260" i="51"/>
  <c r="T261" i="51"/>
  <c r="T262" i="51"/>
  <c r="T263" i="51"/>
  <c r="T264" i="51"/>
  <c r="T265" i="51"/>
  <c r="T266" i="51"/>
  <c r="T267" i="51"/>
  <c r="T268" i="51"/>
  <c r="T269" i="51"/>
  <c r="T270" i="51"/>
  <c r="T271" i="51"/>
  <c r="T272" i="51"/>
  <c r="T273" i="51"/>
  <c r="T274" i="51"/>
  <c r="T275" i="51"/>
  <c r="T276" i="51"/>
  <c r="T277" i="51"/>
  <c r="T278" i="51"/>
  <c r="T279" i="51"/>
  <c r="T136" i="51"/>
  <c r="T137" i="51"/>
  <c r="T143" i="51"/>
  <c r="T144" i="51"/>
  <c r="T145" i="51"/>
  <c r="T146" i="51"/>
  <c r="T147" i="51"/>
  <c r="T148" i="51"/>
  <c r="T149" i="51"/>
  <c r="T150" i="51"/>
  <c r="T151" i="51"/>
  <c r="T152" i="51"/>
  <c r="T153" i="51"/>
  <c r="T154" i="51"/>
  <c r="T155" i="51"/>
  <c r="T156" i="51"/>
  <c r="T157" i="51"/>
  <c r="T158" i="51"/>
  <c r="T159" i="51"/>
  <c r="T160" i="51"/>
  <c r="T161" i="51"/>
  <c r="T162" i="51"/>
  <c r="T123" i="51"/>
  <c r="T124" i="51"/>
  <c r="T280" i="51"/>
  <c r="T281" i="51"/>
  <c r="T282" i="51"/>
  <c r="T283" i="51"/>
  <c r="T284" i="51"/>
  <c r="T285" i="51"/>
  <c r="T286" i="51"/>
  <c r="T165" i="51"/>
  <c r="T166" i="51"/>
  <c r="T167" i="51"/>
  <c r="T168" i="51"/>
  <c r="T169" i="51"/>
  <c r="T170" i="51"/>
  <c r="T171" i="51"/>
  <c r="T176" i="51"/>
  <c r="T177" i="51"/>
  <c r="T178" i="51"/>
  <c r="T179" i="51"/>
  <c r="T96" i="51"/>
  <c r="T180" i="51"/>
  <c r="T181" i="51"/>
  <c r="T182" i="51"/>
  <c r="T183" i="51"/>
  <c r="T184" i="51"/>
  <c r="T287" i="51"/>
  <c r="T288" i="51"/>
  <c r="T289" i="51"/>
  <c r="T290" i="51"/>
  <c r="T291" i="51"/>
  <c r="T292" i="51"/>
  <c r="T293" i="51"/>
  <c r="T294" i="51"/>
  <c r="T295" i="51"/>
  <c r="T296" i="51"/>
  <c r="T297" i="51"/>
  <c r="T298" i="51"/>
  <c r="T299" i="51"/>
  <c r="T300" i="51"/>
  <c r="T301" i="51"/>
  <c r="T302" i="51"/>
  <c r="T303" i="51"/>
  <c r="T304" i="51"/>
  <c r="T305" i="51"/>
  <c r="T198" i="51"/>
  <c r="T306" i="51"/>
  <c r="T307" i="51"/>
  <c r="T308" i="51"/>
  <c r="T199" i="51"/>
  <c r="T309" i="51"/>
  <c r="T310" i="51"/>
  <c r="T311" i="51"/>
  <c r="T312" i="51"/>
  <c r="T313" i="51"/>
  <c r="T314" i="51"/>
  <c r="T315" i="51"/>
  <c r="T316" i="51"/>
  <c r="T317" i="51"/>
  <c r="T318" i="51"/>
  <c r="T319" i="51"/>
  <c r="T320" i="51"/>
  <c r="T200" i="51"/>
  <c r="T321" i="51"/>
  <c r="T322" i="51"/>
  <c r="T323" i="51"/>
  <c r="T324" i="51"/>
  <c r="T325" i="51"/>
  <c r="T326" i="51"/>
  <c r="T134" i="51"/>
  <c r="T327" i="51"/>
  <c r="T328" i="51"/>
  <c r="T329" i="51"/>
  <c r="T135" i="51"/>
  <c r="T330" i="51"/>
  <c r="T194" i="51"/>
  <c r="T195" i="51"/>
  <c r="T190" i="51"/>
  <c r="T191" i="51"/>
  <c r="T331" i="51"/>
  <c r="T332" i="51"/>
  <c r="T333" i="51"/>
  <c r="T334" i="51"/>
  <c r="T335" i="51"/>
  <c r="T336" i="51"/>
  <c r="T337" i="51"/>
  <c r="T338" i="51"/>
  <c r="T339" i="51"/>
  <c r="T340" i="51"/>
  <c r="T341" i="51"/>
  <c r="T342" i="51"/>
  <c r="T343" i="51"/>
  <c r="T344" i="51"/>
  <c r="T345" i="51"/>
  <c r="T346" i="51"/>
  <c r="T347" i="51"/>
  <c r="T348" i="51"/>
  <c r="T349" i="51"/>
  <c r="T350" i="51"/>
  <c r="T351" i="51"/>
  <c r="T352" i="51"/>
  <c r="T353" i="51"/>
  <c r="T354" i="51"/>
  <c r="T355" i="51"/>
  <c r="T356" i="51"/>
  <c r="T357" i="51"/>
  <c r="T358" i="51"/>
  <c r="T359" i="51"/>
  <c r="T360" i="51"/>
  <c r="T361" i="51"/>
  <c r="T114" i="51"/>
  <c r="T128" i="51"/>
  <c r="T192" i="51"/>
  <c r="T193" i="51"/>
  <c r="T201" i="51"/>
  <c r="T202" i="51"/>
  <c r="T203" i="51"/>
  <c r="T204" i="51"/>
  <c r="T205" i="51"/>
  <c r="T206" i="51"/>
  <c r="T207" i="51"/>
  <c r="T208" i="51"/>
  <c r="T209" i="51"/>
  <c r="T210" i="51"/>
  <c r="S114" i="51"/>
  <c r="S128" i="51"/>
  <c r="S192" i="51"/>
  <c r="S193" i="51"/>
  <c r="S196" i="51"/>
  <c r="S197" i="51"/>
  <c r="S201" i="51"/>
  <c r="S202" i="51"/>
  <c r="S203" i="51"/>
  <c r="S204" i="51"/>
  <c r="S205" i="51"/>
  <c r="S206" i="51"/>
  <c r="S207" i="51"/>
  <c r="S208" i="51"/>
  <c r="S209" i="51"/>
  <c r="S210" i="51"/>
  <c r="M210" i="51"/>
  <c r="N210" i="51"/>
  <c r="O210" i="51"/>
  <c r="P210" i="51"/>
  <c r="Q210" i="51"/>
  <c r="R210" i="51"/>
  <c r="M209" i="51"/>
  <c r="N209" i="51"/>
  <c r="O209" i="51"/>
  <c r="P209" i="51"/>
  <c r="Q209" i="51"/>
  <c r="R209" i="51"/>
  <c r="M208" i="51"/>
  <c r="N208" i="51"/>
  <c r="O208" i="51"/>
  <c r="P208" i="51"/>
  <c r="Q208" i="51"/>
  <c r="R208" i="51"/>
  <c r="M207" i="51"/>
  <c r="N207" i="51"/>
  <c r="O207" i="51"/>
  <c r="P207" i="51"/>
  <c r="Q207" i="51"/>
  <c r="R207" i="51"/>
  <c r="M206" i="51"/>
  <c r="N206" i="51"/>
  <c r="O206" i="51"/>
  <c r="Q206" i="51"/>
  <c r="P206" i="51"/>
  <c r="R206" i="51"/>
  <c r="M205" i="51"/>
  <c r="N205" i="51"/>
  <c r="O205" i="51"/>
  <c r="P205" i="51"/>
  <c r="Q205" i="51"/>
  <c r="R205" i="51"/>
  <c r="M204" i="51"/>
  <c r="N204" i="51"/>
  <c r="O204" i="51"/>
  <c r="P204" i="51"/>
  <c r="Q204" i="51"/>
  <c r="R204" i="51"/>
  <c r="M203" i="51"/>
  <c r="N203" i="51"/>
  <c r="O203" i="51"/>
  <c r="P203" i="51"/>
  <c r="Q203" i="51"/>
  <c r="R203" i="51"/>
  <c r="M202" i="51"/>
  <c r="N202" i="51"/>
  <c r="O202" i="51"/>
  <c r="P202" i="51"/>
  <c r="Q202" i="51"/>
  <c r="R202" i="51"/>
  <c r="M201" i="51"/>
  <c r="N201" i="51"/>
  <c r="O201" i="51"/>
  <c r="P201" i="51"/>
  <c r="Q201" i="51"/>
  <c r="R201" i="51"/>
  <c r="M197" i="51"/>
  <c r="N197" i="51"/>
  <c r="O197" i="51"/>
  <c r="P197" i="51"/>
  <c r="Q197" i="51"/>
  <c r="R197" i="51"/>
  <c r="M196" i="51"/>
  <c r="N196" i="51"/>
  <c r="O196" i="51"/>
  <c r="P196" i="51"/>
  <c r="Q196" i="51"/>
  <c r="R196" i="51"/>
  <c r="M193" i="51"/>
  <c r="N193" i="51"/>
  <c r="O193" i="51"/>
  <c r="P193" i="51"/>
  <c r="Q193" i="51"/>
  <c r="R193" i="51"/>
  <c r="M192" i="51"/>
  <c r="N192" i="51"/>
  <c r="O192" i="51"/>
  <c r="P192" i="51"/>
  <c r="Q192" i="51"/>
  <c r="R192" i="51"/>
  <c r="M128" i="51"/>
  <c r="N128" i="51"/>
  <c r="O128" i="51"/>
  <c r="P128" i="51"/>
  <c r="Q128" i="51"/>
  <c r="R128" i="51"/>
  <c r="M114" i="51"/>
  <c r="N114" i="51"/>
  <c r="O114" i="51"/>
  <c r="P114" i="51"/>
  <c r="Q114" i="51"/>
  <c r="R114" i="51"/>
  <c r="AE5" i="51"/>
  <c r="M189" i="51"/>
  <c r="N189" i="51"/>
  <c r="O189" i="51"/>
  <c r="P189" i="51"/>
  <c r="Q189" i="51"/>
  <c r="S189" i="51"/>
  <c r="R189" i="51"/>
  <c r="M188" i="51"/>
  <c r="N188" i="51"/>
  <c r="O188" i="51"/>
  <c r="P188" i="51"/>
  <c r="S188" i="51"/>
  <c r="Q188" i="51"/>
  <c r="R188" i="51"/>
  <c r="M187" i="51"/>
  <c r="N187" i="51"/>
  <c r="O187" i="51"/>
  <c r="S187" i="51"/>
  <c r="P187" i="51"/>
  <c r="Q187" i="51"/>
  <c r="R187" i="51"/>
  <c r="S7" i="52"/>
  <c r="S8" i="52"/>
  <c r="S15" i="52"/>
  <c r="S10" i="52"/>
  <c r="S11" i="52"/>
  <c r="S9" i="52"/>
  <c r="S12" i="52"/>
  <c r="S13" i="52"/>
  <c r="S19" i="52"/>
  <c r="S14" i="52"/>
  <c r="S16" i="52"/>
  <c r="S17" i="52"/>
  <c r="S18" i="52"/>
  <c r="S25" i="52"/>
  <c r="S81" i="52"/>
  <c r="S82" i="52"/>
  <c r="S34" i="52"/>
  <c r="S20" i="52"/>
  <c r="S21" i="52"/>
  <c r="S35" i="52"/>
  <c r="S40" i="52"/>
  <c r="S24" i="52"/>
  <c r="S22" i="52"/>
  <c r="S23" i="52"/>
  <c r="S26" i="52"/>
  <c r="S27" i="52"/>
  <c r="S55" i="52"/>
  <c r="S36" i="52"/>
  <c r="S28" i="52"/>
  <c r="S29" i="52"/>
  <c r="S30" i="52"/>
  <c r="S42" i="52"/>
  <c r="S31" i="52"/>
  <c r="S33" i="52"/>
  <c r="S43" i="52"/>
  <c r="S83" i="52"/>
  <c r="S37" i="52"/>
  <c r="S54" i="52"/>
  <c r="S38" i="52"/>
  <c r="S39" i="52"/>
  <c r="S62" i="52"/>
  <c r="S50" i="52"/>
  <c r="S41" i="52"/>
  <c r="S44" i="52"/>
  <c r="S84" i="52"/>
  <c r="S45" i="52"/>
  <c r="S52" i="52"/>
  <c r="S56" i="52"/>
  <c r="S46" i="52"/>
  <c r="S47" i="52"/>
  <c r="S48" i="52"/>
  <c r="S49" i="52"/>
  <c r="S85" i="52"/>
  <c r="S63" i="52"/>
  <c r="S51" i="52"/>
  <c r="S86" i="52"/>
  <c r="S53" i="52"/>
  <c r="S87" i="52"/>
  <c r="S57" i="52"/>
  <c r="S58" i="52"/>
  <c r="S59" i="52"/>
  <c r="S88" i="52"/>
  <c r="S60" i="52"/>
  <c r="S89" i="52"/>
  <c r="S90" i="52"/>
  <c r="S91" i="52"/>
  <c r="S92" i="52"/>
  <c r="S93" i="52"/>
  <c r="S94" i="52"/>
  <c r="S64" i="52"/>
  <c r="S65" i="52"/>
  <c r="S95" i="52"/>
  <c r="S96" i="52"/>
  <c r="S97" i="52"/>
  <c r="S98" i="52"/>
  <c r="S99" i="52"/>
  <c r="S66" i="52"/>
  <c r="S67" i="52"/>
  <c r="S68" i="52"/>
  <c r="S69" i="52"/>
  <c r="S70" i="52"/>
  <c r="S100" i="52"/>
  <c r="S101" i="52"/>
  <c r="S102" i="52"/>
  <c r="S103" i="52"/>
  <c r="S104" i="52"/>
  <c r="S105" i="52"/>
  <c r="S106" i="52"/>
  <c r="S71" i="52"/>
  <c r="S72" i="52"/>
  <c r="S73" i="52"/>
  <c r="S74" i="52"/>
  <c r="S75" i="52"/>
  <c r="S76" i="52"/>
  <c r="S77" i="52"/>
  <c r="S78" i="52"/>
  <c r="S79" i="52"/>
  <c r="S80" i="52"/>
  <c r="S32" i="52"/>
  <c r="S61" i="52"/>
  <c r="AN5" i="52"/>
  <c r="L75" i="52"/>
  <c r="M75" i="52"/>
  <c r="N75" i="52"/>
  <c r="O75" i="52"/>
  <c r="P75" i="52"/>
  <c r="Q75" i="52"/>
  <c r="R75" i="52"/>
  <c r="X75" i="52"/>
  <c r="L80" i="52"/>
  <c r="M80" i="52"/>
  <c r="N80" i="52"/>
  <c r="O80" i="52"/>
  <c r="P80" i="52"/>
  <c r="Q80" i="52"/>
  <c r="R80" i="52"/>
  <c r="X80" i="52"/>
  <c r="L79" i="52"/>
  <c r="M79" i="52"/>
  <c r="N79" i="52"/>
  <c r="O79" i="52"/>
  <c r="P79" i="52"/>
  <c r="Q79" i="52"/>
  <c r="R79" i="52"/>
  <c r="X79" i="52"/>
  <c r="L78" i="52"/>
  <c r="M78" i="52"/>
  <c r="N78" i="52"/>
  <c r="O78" i="52"/>
  <c r="P78" i="52"/>
  <c r="Q78" i="52"/>
  <c r="R78" i="52"/>
  <c r="X78" i="52"/>
  <c r="L77" i="52"/>
  <c r="M77" i="52"/>
  <c r="N77" i="52"/>
  <c r="O77" i="52"/>
  <c r="P77" i="52"/>
  <c r="Q77" i="52"/>
  <c r="R77" i="52"/>
  <c r="X77" i="52"/>
  <c r="L76" i="52"/>
  <c r="M76" i="52"/>
  <c r="N76" i="52"/>
  <c r="O76" i="52"/>
  <c r="P76" i="52"/>
  <c r="Q76" i="52"/>
  <c r="R76" i="52"/>
  <c r="X76" i="52"/>
  <c r="L74" i="52"/>
  <c r="M74" i="52"/>
  <c r="N74" i="52"/>
  <c r="O74" i="52"/>
  <c r="P74" i="52"/>
  <c r="Q74" i="52"/>
  <c r="R74" i="52"/>
  <c r="X74" i="52"/>
  <c r="I114" i="51" l="1"/>
  <c r="G114" i="51"/>
  <c r="H114" i="51"/>
  <c r="G196" i="51"/>
  <c r="H196" i="51"/>
  <c r="I196" i="51"/>
  <c r="G203" i="51"/>
  <c r="H203" i="51"/>
  <c r="I203" i="51"/>
  <c r="G207" i="51"/>
  <c r="H207" i="51"/>
  <c r="I207" i="51"/>
  <c r="G189" i="51"/>
  <c r="H189" i="51"/>
  <c r="I189" i="51"/>
  <c r="G188" i="51"/>
  <c r="H188" i="51"/>
  <c r="I188" i="51"/>
  <c r="G193" i="51"/>
  <c r="H193" i="51"/>
  <c r="I193" i="51"/>
  <c r="G202" i="51"/>
  <c r="H202" i="51"/>
  <c r="I202" i="51"/>
  <c r="G206" i="51"/>
  <c r="H206" i="51"/>
  <c r="I206" i="51"/>
  <c r="G210" i="51"/>
  <c r="H210" i="51"/>
  <c r="I210" i="51"/>
  <c r="G187" i="51"/>
  <c r="H187" i="51"/>
  <c r="I187" i="51"/>
  <c r="G192" i="51"/>
  <c r="H192" i="51"/>
  <c r="I192" i="51"/>
  <c r="G201" i="51"/>
  <c r="H201" i="51"/>
  <c r="I201" i="51"/>
  <c r="I205" i="51"/>
  <c r="G205" i="51"/>
  <c r="H205" i="51"/>
  <c r="G209" i="51"/>
  <c r="H209" i="51"/>
  <c r="I209" i="51"/>
  <c r="H128" i="51"/>
  <c r="I128" i="51"/>
  <c r="G128" i="51"/>
  <c r="G197" i="51"/>
  <c r="H197" i="51"/>
  <c r="I197" i="51"/>
  <c r="G204" i="51"/>
  <c r="H204" i="51"/>
  <c r="I204" i="51"/>
  <c r="H208" i="51"/>
  <c r="I208" i="51"/>
  <c r="G208" i="51"/>
  <c r="I108" i="52"/>
  <c r="H108" i="52"/>
  <c r="G108" i="52"/>
  <c r="F108" i="52" s="1"/>
  <c r="K210" i="51"/>
  <c r="K209" i="51"/>
  <c r="K207" i="51"/>
  <c r="K208" i="51"/>
  <c r="K206" i="51"/>
  <c r="K205" i="51"/>
  <c r="K204" i="51"/>
  <c r="K203" i="51"/>
  <c r="K202" i="51"/>
  <c r="K201" i="51"/>
  <c r="K197" i="51"/>
  <c r="K196" i="51"/>
  <c r="K193" i="51"/>
  <c r="K192" i="51"/>
  <c r="K128" i="51"/>
  <c r="K114" i="51"/>
  <c r="K189" i="51"/>
  <c r="K187" i="51"/>
  <c r="K188" i="51"/>
  <c r="L66" i="52"/>
  <c r="M66" i="52"/>
  <c r="N66" i="52"/>
  <c r="O66" i="52"/>
  <c r="P66" i="52"/>
  <c r="Q66" i="52"/>
  <c r="R66" i="52"/>
  <c r="X66" i="52"/>
  <c r="F205" i="51" l="1"/>
  <c r="F114" i="51"/>
  <c r="F192" i="51"/>
  <c r="F202" i="51"/>
  <c r="F204" i="51"/>
  <c r="F210" i="51"/>
  <c r="F203" i="51"/>
  <c r="F201" i="51"/>
  <c r="F193" i="51"/>
  <c r="F197" i="51"/>
  <c r="F206" i="51"/>
  <c r="F208" i="51"/>
  <c r="F128" i="51"/>
  <c r="F209" i="51"/>
  <c r="F196" i="51"/>
  <c r="F207" i="51"/>
  <c r="F188" i="51"/>
  <c r="F187" i="51"/>
  <c r="F189" i="51"/>
  <c r="X7" i="52"/>
  <c r="X8" i="52"/>
  <c r="X15" i="52"/>
  <c r="X11" i="52"/>
  <c r="X9" i="52"/>
  <c r="X12" i="52"/>
  <c r="X10" i="52"/>
  <c r="X13" i="52"/>
  <c r="X19" i="52"/>
  <c r="X14" i="52"/>
  <c r="X16" i="52"/>
  <c r="X17" i="52"/>
  <c r="X18" i="52"/>
  <c r="X81" i="52"/>
  <c r="X82" i="52"/>
  <c r="X34" i="52"/>
  <c r="X20" i="52"/>
  <c r="X21" i="52"/>
  <c r="X40" i="52"/>
  <c r="X35" i="52"/>
  <c r="X25" i="52"/>
  <c r="X24" i="52"/>
  <c r="X23" i="52"/>
  <c r="X26" i="52"/>
  <c r="X27" i="52"/>
  <c r="X22" i="52"/>
  <c r="X55" i="52"/>
  <c r="X36" i="52"/>
  <c r="X28" i="52"/>
  <c r="X29" i="52"/>
  <c r="X30" i="52"/>
  <c r="X31" i="52"/>
  <c r="X33" i="52"/>
  <c r="X83" i="52"/>
  <c r="X37" i="52"/>
  <c r="X54" i="52"/>
  <c r="X39" i="52"/>
  <c r="X62" i="52"/>
  <c r="X41" i="52"/>
  <c r="X42" i="52"/>
  <c r="X84" i="52"/>
  <c r="X48" i="52"/>
  <c r="X38" i="52"/>
  <c r="X43" i="52"/>
  <c r="X85" i="52"/>
  <c r="X50" i="52"/>
  <c r="X63" i="52"/>
  <c r="X44" i="52"/>
  <c r="X56" i="52"/>
  <c r="X86" i="52"/>
  <c r="X46" i="52"/>
  <c r="X47" i="52"/>
  <c r="X45" i="52"/>
  <c r="X87" i="52"/>
  <c r="X52" i="52"/>
  <c r="X58" i="52"/>
  <c r="X88" i="52"/>
  <c r="X51" i="52"/>
  <c r="X60" i="52"/>
  <c r="X89" i="52"/>
  <c r="X90" i="52"/>
  <c r="X91" i="52"/>
  <c r="X92" i="52"/>
  <c r="X93" i="52"/>
  <c r="X53" i="52"/>
  <c r="X94" i="52"/>
  <c r="X64" i="52"/>
  <c r="X49" i="52"/>
  <c r="X65" i="52"/>
  <c r="X95" i="52"/>
  <c r="X96" i="52"/>
  <c r="X97" i="52"/>
  <c r="X98" i="52"/>
  <c r="X99" i="52"/>
  <c r="X67" i="52"/>
  <c r="X68" i="52"/>
  <c r="X69" i="52"/>
  <c r="X70" i="52"/>
  <c r="X57" i="52"/>
  <c r="X100" i="52"/>
  <c r="X101" i="52"/>
  <c r="X102" i="52"/>
  <c r="X103" i="52"/>
  <c r="X104" i="52"/>
  <c r="X105" i="52"/>
  <c r="X106" i="52"/>
  <c r="X71" i="52"/>
  <c r="X72" i="52"/>
  <c r="X59" i="52"/>
  <c r="X73" i="52"/>
  <c r="X32" i="52"/>
  <c r="X61" i="52"/>
  <c r="S7" i="51"/>
  <c r="S8" i="51"/>
  <c r="S11" i="51"/>
  <c r="S13" i="51"/>
  <c r="S9" i="51"/>
  <c r="S10" i="51"/>
  <c r="S15" i="51"/>
  <c r="S20" i="51"/>
  <c r="S22" i="51"/>
  <c r="S17" i="51"/>
  <c r="S27" i="51"/>
  <c r="S35" i="51"/>
  <c r="S28" i="51"/>
  <c r="S68" i="51"/>
  <c r="S16" i="51"/>
  <c r="S12" i="51"/>
  <c r="S19" i="51"/>
  <c r="S18" i="51"/>
  <c r="S30" i="51"/>
  <c r="S31" i="51"/>
  <c r="S32" i="51"/>
  <c r="S33" i="51"/>
  <c r="S23" i="51"/>
  <c r="S43" i="51"/>
  <c r="S24" i="51"/>
  <c r="S36" i="51"/>
  <c r="S47" i="51"/>
  <c r="S21" i="51"/>
  <c r="S50" i="51"/>
  <c r="S25" i="51"/>
  <c r="S211" i="51"/>
  <c r="S212" i="51"/>
  <c r="S14" i="51"/>
  <c r="S58" i="51"/>
  <c r="S213" i="51"/>
  <c r="S214" i="51"/>
  <c r="S26" i="51"/>
  <c r="S29" i="51"/>
  <c r="S34" i="51"/>
  <c r="S44" i="51"/>
  <c r="S39" i="51"/>
  <c r="S37" i="51"/>
  <c r="S132" i="51"/>
  <c r="S42" i="51"/>
  <c r="S38" i="51"/>
  <c r="S52" i="51"/>
  <c r="S62" i="51"/>
  <c r="S40" i="51"/>
  <c r="S66" i="51"/>
  <c r="S41" i="51"/>
  <c r="S129" i="51"/>
  <c r="S130" i="51"/>
  <c r="S102" i="51"/>
  <c r="S72" i="51"/>
  <c r="S80" i="51"/>
  <c r="S53" i="51"/>
  <c r="S59" i="51"/>
  <c r="S103" i="51"/>
  <c r="S73" i="51"/>
  <c r="S55" i="51"/>
  <c r="S215" i="51"/>
  <c r="S216" i="51"/>
  <c r="S48" i="51"/>
  <c r="S46" i="51"/>
  <c r="S49" i="51"/>
  <c r="S217" i="51"/>
  <c r="S218" i="51"/>
  <c r="S51" i="51"/>
  <c r="S92" i="51"/>
  <c r="S93" i="51"/>
  <c r="S71" i="51"/>
  <c r="S45" i="51"/>
  <c r="S64" i="51"/>
  <c r="S57" i="51"/>
  <c r="S54" i="51"/>
  <c r="S81" i="51"/>
  <c r="S56" i="51"/>
  <c r="S97" i="51"/>
  <c r="S60" i="51"/>
  <c r="S61" i="51"/>
  <c r="S63" i="51"/>
  <c r="S219" i="51"/>
  <c r="S220" i="51"/>
  <c r="S221" i="51"/>
  <c r="S222" i="51"/>
  <c r="S65" i="51"/>
  <c r="S69" i="51"/>
  <c r="S77" i="51"/>
  <c r="S223" i="51"/>
  <c r="S224" i="51"/>
  <c r="S75" i="51"/>
  <c r="S67" i="51"/>
  <c r="S225" i="51"/>
  <c r="S90" i="51"/>
  <c r="S226" i="51"/>
  <c r="S76" i="51"/>
  <c r="S70" i="51"/>
  <c r="S163" i="51"/>
  <c r="S227" i="51"/>
  <c r="S89" i="51"/>
  <c r="S78" i="51"/>
  <c r="S228" i="51"/>
  <c r="S79" i="51"/>
  <c r="S229" i="51"/>
  <c r="S82" i="51"/>
  <c r="S83" i="51"/>
  <c r="S84" i="51"/>
  <c r="S85" i="51"/>
  <c r="S86" i="51"/>
  <c r="S87" i="51"/>
  <c r="S88" i="51"/>
  <c r="S230" i="51"/>
  <c r="S231" i="51"/>
  <c r="S232" i="51"/>
  <c r="S94" i="51"/>
  <c r="S95" i="51"/>
  <c r="S74" i="51"/>
  <c r="S172" i="51"/>
  <c r="S233" i="51"/>
  <c r="S234" i="51"/>
  <c r="S235" i="51"/>
  <c r="S236" i="51"/>
  <c r="S237" i="51"/>
  <c r="S98" i="51"/>
  <c r="S99" i="51"/>
  <c r="S100" i="51"/>
  <c r="S101" i="51"/>
  <c r="S91" i="51"/>
  <c r="S104" i="51"/>
  <c r="S105" i="51"/>
  <c r="S106" i="51"/>
  <c r="S107" i="51"/>
  <c r="S108" i="51"/>
  <c r="S109" i="51"/>
  <c r="S110" i="51"/>
  <c r="S238" i="51"/>
  <c r="S111" i="51"/>
  <c r="S239" i="51"/>
  <c r="S240" i="51"/>
  <c r="S241" i="51"/>
  <c r="S242" i="51"/>
  <c r="S243" i="51"/>
  <c r="S173" i="51"/>
  <c r="S117" i="51"/>
  <c r="S112" i="51"/>
  <c r="S113" i="51"/>
  <c r="S244" i="51"/>
  <c r="S245" i="51"/>
  <c r="S246" i="51"/>
  <c r="S115" i="51"/>
  <c r="S116" i="51"/>
  <c r="S133" i="51"/>
  <c r="S127" i="51"/>
  <c r="S118" i="51"/>
  <c r="S119" i="51"/>
  <c r="S120" i="51"/>
  <c r="S247" i="51"/>
  <c r="S248" i="51"/>
  <c r="S164" i="51"/>
  <c r="S174" i="51"/>
  <c r="S121" i="51"/>
  <c r="S122" i="51"/>
  <c r="S249" i="51"/>
  <c r="S125" i="51"/>
  <c r="S250" i="51"/>
  <c r="S138" i="51"/>
  <c r="S139" i="51"/>
  <c r="S140" i="51"/>
  <c r="S141" i="51"/>
  <c r="S142" i="51"/>
  <c r="S175" i="51"/>
  <c r="S251" i="51"/>
  <c r="S185" i="51"/>
  <c r="S252" i="51"/>
  <c r="S253" i="51"/>
  <c r="S254" i="51"/>
  <c r="S255" i="51"/>
  <c r="S256" i="51"/>
  <c r="S257" i="51"/>
  <c r="S258" i="51"/>
  <c r="S259" i="51"/>
  <c r="S260" i="51"/>
  <c r="S261" i="51"/>
  <c r="S262" i="51"/>
  <c r="S263" i="51"/>
  <c r="S264" i="51"/>
  <c r="S265" i="51"/>
  <c r="S266" i="51"/>
  <c r="S267" i="51"/>
  <c r="S268" i="51"/>
  <c r="S269" i="51"/>
  <c r="S270" i="51"/>
  <c r="S271" i="51"/>
  <c r="S272" i="51"/>
  <c r="S273" i="51"/>
  <c r="S274" i="51"/>
  <c r="S275" i="51"/>
  <c r="S131" i="51"/>
  <c r="S276" i="51"/>
  <c r="S277" i="51"/>
  <c r="S278" i="51"/>
  <c r="S279" i="51"/>
  <c r="S136" i="51"/>
  <c r="S137" i="51"/>
  <c r="S143" i="51"/>
  <c r="S144" i="51"/>
  <c r="S145" i="51"/>
  <c r="S146" i="51"/>
  <c r="S147" i="51"/>
  <c r="S148" i="51"/>
  <c r="S149" i="51"/>
  <c r="S150" i="51"/>
  <c r="S151" i="51"/>
  <c r="S152" i="51"/>
  <c r="S153" i="51"/>
  <c r="S154" i="51"/>
  <c r="S155" i="51"/>
  <c r="S156" i="51"/>
  <c r="S157" i="51"/>
  <c r="S158" i="51"/>
  <c r="S159" i="51"/>
  <c r="S160" i="51"/>
  <c r="S161" i="51"/>
  <c r="S162" i="51"/>
  <c r="S123" i="51"/>
  <c r="S124" i="51"/>
  <c r="S280" i="51"/>
  <c r="S281" i="51"/>
  <c r="S282" i="51"/>
  <c r="S283" i="51"/>
  <c r="S284" i="51"/>
  <c r="S285" i="51"/>
  <c r="S286" i="51"/>
  <c r="S165" i="51"/>
  <c r="S166" i="51"/>
  <c r="S167" i="51"/>
  <c r="S168" i="51"/>
  <c r="S169" i="51"/>
  <c r="S170" i="51"/>
  <c r="S171" i="51"/>
  <c r="S176" i="51"/>
  <c r="S177" i="51"/>
  <c r="S178" i="51"/>
  <c r="S179" i="51"/>
  <c r="S96" i="51"/>
  <c r="S180" i="51"/>
  <c r="S181" i="51"/>
  <c r="S126" i="51"/>
  <c r="S182" i="51"/>
  <c r="S183" i="51"/>
  <c r="S184" i="51"/>
  <c r="S287" i="51"/>
  <c r="S288" i="51"/>
  <c r="S289" i="51"/>
  <c r="S290" i="51"/>
  <c r="S291" i="51"/>
  <c r="S292" i="51"/>
  <c r="S293" i="51"/>
  <c r="S294" i="51"/>
  <c r="S295" i="51"/>
  <c r="S296" i="51"/>
  <c r="S297" i="51"/>
  <c r="S298" i="51"/>
  <c r="S299" i="51"/>
  <c r="S300" i="51"/>
  <c r="S301" i="51"/>
  <c r="S302" i="51"/>
  <c r="S303" i="51"/>
  <c r="S304" i="51"/>
  <c r="S305" i="51"/>
  <c r="S198" i="51"/>
  <c r="S306" i="51"/>
  <c r="S307" i="51"/>
  <c r="S308" i="51"/>
  <c r="S199" i="51"/>
  <c r="S309" i="51"/>
  <c r="S310" i="51"/>
  <c r="S186" i="51"/>
  <c r="S311" i="51"/>
  <c r="S312" i="51"/>
  <c r="S313" i="51"/>
  <c r="S314" i="51"/>
  <c r="S315" i="51"/>
  <c r="S316" i="51"/>
  <c r="S317" i="51"/>
  <c r="S318" i="51"/>
  <c r="S319" i="51"/>
  <c r="S320" i="51"/>
  <c r="S200" i="51"/>
  <c r="S321" i="51"/>
  <c r="S322" i="51"/>
  <c r="S323" i="51"/>
  <c r="S324" i="51"/>
  <c r="S325" i="51"/>
  <c r="S326" i="51"/>
  <c r="S134" i="51"/>
  <c r="S327" i="51"/>
  <c r="S328" i="51"/>
  <c r="S329" i="51"/>
  <c r="S135" i="51"/>
  <c r="S330" i="51"/>
  <c r="S194" i="51"/>
  <c r="S195" i="51"/>
  <c r="S190" i="51"/>
  <c r="S191" i="51"/>
  <c r="S331" i="51"/>
  <c r="S332" i="51"/>
  <c r="S333" i="51"/>
  <c r="S334" i="51"/>
  <c r="S335" i="51"/>
  <c r="S336" i="51"/>
  <c r="S337" i="51"/>
  <c r="S338" i="51"/>
  <c r="S339" i="51"/>
  <c r="S340" i="51"/>
  <c r="S341" i="51"/>
  <c r="S342" i="51"/>
  <c r="S343" i="51"/>
  <c r="S344" i="51"/>
  <c r="S345" i="51"/>
  <c r="S346" i="51"/>
  <c r="S347" i="51"/>
  <c r="S348" i="51"/>
  <c r="S349" i="51"/>
  <c r="S350" i="51"/>
  <c r="S351" i="51"/>
  <c r="S352" i="51"/>
  <c r="S353" i="51"/>
  <c r="S354" i="51"/>
  <c r="S355" i="51"/>
  <c r="S356" i="51"/>
  <c r="S357" i="51"/>
  <c r="S358" i="51"/>
  <c r="S359" i="51"/>
  <c r="S360" i="51"/>
  <c r="S361" i="51"/>
  <c r="AK5" i="52"/>
  <c r="R7" i="51"/>
  <c r="R8" i="51"/>
  <c r="R11" i="51"/>
  <c r="R13" i="51"/>
  <c r="R9" i="51"/>
  <c r="R10" i="51"/>
  <c r="R20" i="51"/>
  <c r="R15" i="51"/>
  <c r="R22" i="51"/>
  <c r="R17" i="51"/>
  <c r="R27" i="51"/>
  <c r="R35" i="51"/>
  <c r="R28" i="51"/>
  <c r="R68" i="51"/>
  <c r="R12" i="51"/>
  <c r="R16" i="51"/>
  <c r="R18" i="51"/>
  <c r="R30" i="51"/>
  <c r="R31" i="51"/>
  <c r="R32" i="51"/>
  <c r="R33" i="51"/>
  <c r="R23" i="51"/>
  <c r="R43" i="51"/>
  <c r="R19" i="51"/>
  <c r="R24" i="51"/>
  <c r="R36" i="51"/>
  <c r="R47" i="51"/>
  <c r="R50" i="51"/>
  <c r="R25" i="51"/>
  <c r="R211" i="51"/>
  <c r="R212" i="51"/>
  <c r="R14" i="51"/>
  <c r="R58" i="51"/>
  <c r="R213" i="51"/>
  <c r="R214" i="51"/>
  <c r="R29" i="51"/>
  <c r="R34" i="51"/>
  <c r="R44" i="51"/>
  <c r="R37" i="51"/>
  <c r="R132" i="51"/>
  <c r="R42" i="51"/>
  <c r="R38" i="51"/>
  <c r="R52" i="51"/>
  <c r="R39" i="51"/>
  <c r="R21" i="51"/>
  <c r="R26" i="51"/>
  <c r="R66" i="51"/>
  <c r="R41" i="51"/>
  <c r="R129" i="51"/>
  <c r="R130" i="51"/>
  <c r="R102" i="51"/>
  <c r="R72" i="51"/>
  <c r="R80" i="51"/>
  <c r="R53" i="51"/>
  <c r="R103" i="51"/>
  <c r="R73" i="51"/>
  <c r="R40" i="51"/>
  <c r="R55" i="51"/>
  <c r="R215" i="51"/>
  <c r="R216" i="51"/>
  <c r="R48" i="51"/>
  <c r="R46" i="51"/>
  <c r="R62" i="51"/>
  <c r="R59" i="51"/>
  <c r="R217" i="51"/>
  <c r="R218" i="51"/>
  <c r="R92" i="51"/>
  <c r="R93" i="51"/>
  <c r="R71" i="51"/>
  <c r="R64" i="51"/>
  <c r="R54" i="51"/>
  <c r="R81" i="51"/>
  <c r="R56" i="51"/>
  <c r="R97" i="51"/>
  <c r="R219" i="51"/>
  <c r="R220" i="51"/>
  <c r="R221" i="51"/>
  <c r="R222" i="51"/>
  <c r="R65" i="51"/>
  <c r="R69" i="51"/>
  <c r="R223" i="51"/>
  <c r="R45" i="51"/>
  <c r="R224" i="51"/>
  <c r="R75" i="51"/>
  <c r="R67" i="51"/>
  <c r="R57" i="51"/>
  <c r="R225" i="51"/>
  <c r="R226" i="51"/>
  <c r="R76" i="51"/>
  <c r="R70" i="51"/>
  <c r="R163" i="51"/>
  <c r="R227" i="51"/>
  <c r="R228" i="51"/>
  <c r="R79" i="51"/>
  <c r="R229" i="51"/>
  <c r="R60" i="51"/>
  <c r="R49" i="51"/>
  <c r="R82" i="51"/>
  <c r="R83" i="51"/>
  <c r="R84" i="51"/>
  <c r="R85" i="51"/>
  <c r="R86" i="51"/>
  <c r="R87" i="51"/>
  <c r="R88" i="51"/>
  <c r="R61" i="51"/>
  <c r="R230" i="51"/>
  <c r="R231" i="51"/>
  <c r="R232" i="51"/>
  <c r="R63" i="51"/>
  <c r="R94" i="51"/>
  <c r="R95" i="51"/>
  <c r="R74" i="51"/>
  <c r="R172" i="51"/>
  <c r="R233" i="51"/>
  <c r="R234" i="51"/>
  <c r="R235" i="51"/>
  <c r="R236" i="51"/>
  <c r="R237" i="51"/>
  <c r="R98" i="51"/>
  <c r="R99" i="51"/>
  <c r="R100" i="51"/>
  <c r="R101" i="51"/>
  <c r="R91" i="51"/>
  <c r="R108" i="51"/>
  <c r="R109" i="51"/>
  <c r="R110" i="51"/>
  <c r="R104" i="51"/>
  <c r="R105" i="51"/>
  <c r="R106" i="51"/>
  <c r="R107" i="51"/>
  <c r="R238" i="51"/>
  <c r="R77" i="51"/>
  <c r="R239" i="51"/>
  <c r="R240" i="51"/>
  <c r="R241" i="51"/>
  <c r="R242" i="51"/>
  <c r="R243" i="51"/>
  <c r="R173" i="51"/>
  <c r="R244" i="51"/>
  <c r="R245" i="51"/>
  <c r="R246" i="51"/>
  <c r="R133" i="51"/>
  <c r="R127" i="51"/>
  <c r="R118" i="51"/>
  <c r="R119" i="51"/>
  <c r="R120" i="51"/>
  <c r="R247" i="51"/>
  <c r="R248" i="51"/>
  <c r="R51" i="51"/>
  <c r="R164" i="51"/>
  <c r="R90" i="51"/>
  <c r="R174" i="51"/>
  <c r="R121" i="51"/>
  <c r="R122" i="51"/>
  <c r="R249" i="51"/>
  <c r="R250" i="51"/>
  <c r="R138" i="51"/>
  <c r="R139" i="51"/>
  <c r="R140" i="51"/>
  <c r="R141" i="51"/>
  <c r="R142" i="51"/>
  <c r="R175" i="51"/>
  <c r="R117" i="51"/>
  <c r="R251" i="51"/>
  <c r="R185" i="51"/>
  <c r="R89" i="51"/>
  <c r="R78" i="51"/>
  <c r="R252" i="51"/>
  <c r="R253" i="51"/>
  <c r="R254" i="51"/>
  <c r="R255" i="51"/>
  <c r="R256" i="51"/>
  <c r="R257" i="51"/>
  <c r="R258" i="51"/>
  <c r="R259" i="51"/>
  <c r="R260" i="51"/>
  <c r="R261" i="51"/>
  <c r="R262" i="51"/>
  <c r="R263" i="51"/>
  <c r="R264" i="51"/>
  <c r="R265" i="51"/>
  <c r="R266" i="51"/>
  <c r="R267" i="51"/>
  <c r="R268" i="51"/>
  <c r="R269" i="51"/>
  <c r="R270" i="51"/>
  <c r="R271" i="51"/>
  <c r="R272" i="51"/>
  <c r="R273" i="51"/>
  <c r="R274" i="51"/>
  <c r="R275" i="51"/>
  <c r="R131" i="51"/>
  <c r="R276" i="51"/>
  <c r="R277" i="51"/>
  <c r="R278" i="51"/>
  <c r="R279" i="51"/>
  <c r="R143" i="51"/>
  <c r="R144" i="51"/>
  <c r="R145" i="51"/>
  <c r="R146" i="51"/>
  <c r="R147" i="51"/>
  <c r="R148" i="51"/>
  <c r="R149" i="51"/>
  <c r="R150" i="51"/>
  <c r="R151" i="51"/>
  <c r="R152" i="51"/>
  <c r="R153" i="51"/>
  <c r="R154" i="51"/>
  <c r="R155" i="51"/>
  <c r="R156" i="51"/>
  <c r="R157" i="51"/>
  <c r="R158" i="51"/>
  <c r="R159" i="51"/>
  <c r="R160" i="51"/>
  <c r="R161" i="51"/>
  <c r="R162" i="51"/>
  <c r="R123" i="51"/>
  <c r="R124" i="51"/>
  <c r="R280" i="51"/>
  <c r="R281" i="51"/>
  <c r="R282" i="51"/>
  <c r="R283" i="51"/>
  <c r="R284" i="51"/>
  <c r="R285" i="51"/>
  <c r="R286" i="51"/>
  <c r="R165" i="51"/>
  <c r="R166" i="51"/>
  <c r="R167" i="51"/>
  <c r="R168" i="51"/>
  <c r="R169" i="51"/>
  <c r="R170" i="51"/>
  <c r="R171" i="51"/>
  <c r="R112" i="51"/>
  <c r="R113" i="51"/>
  <c r="R181" i="51"/>
  <c r="R126" i="51"/>
  <c r="R182" i="51"/>
  <c r="R176" i="51"/>
  <c r="R177" i="51"/>
  <c r="R178" i="51"/>
  <c r="R179" i="51"/>
  <c r="R96" i="51"/>
  <c r="R180" i="51"/>
  <c r="R287" i="51"/>
  <c r="R288" i="51"/>
  <c r="R289" i="51"/>
  <c r="R290" i="51"/>
  <c r="R291" i="51"/>
  <c r="R292" i="51"/>
  <c r="R293" i="51"/>
  <c r="R294" i="51"/>
  <c r="R295" i="51"/>
  <c r="R296" i="51"/>
  <c r="R297" i="51"/>
  <c r="R298" i="51"/>
  <c r="R299" i="51"/>
  <c r="R300" i="51"/>
  <c r="R301" i="51"/>
  <c r="R302" i="51"/>
  <c r="R303" i="51"/>
  <c r="R304" i="51"/>
  <c r="R305" i="51"/>
  <c r="R198" i="51"/>
  <c r="R306" i="51"/>
  <c r="R307" i="51"/>
  <c r="R308" i="51"/>
  <c r="R199" i="51"/>
  <c r="R309" i="51"/>
  <c r="R310" i="51"/>
  <c r="R186" i="51"/>
  <c r="R311" i="51"/>
  <c r="R312" i="51"/>
  <c r="R313" i="51"/>
  <c r="R314" i="51"/>
  <c r="R315" i="51"/>
  <c r="R316" i="51"/>
  <c r="R317" i="51"/>
  <c r="R318" i="51"/>
  <c r="R319" i="51"/>
  <c r="R320" i="51"/>
  <c r="R200" i="51"/>
  <c r="R321" i="51"/>
  <c r="R322" i="51"/>
  <c r="R323" i="51"/>
  <c r="R324" i="51"/>
  <c r="R325" i="51"/>
  <c r="R326" i="51"/>
  <c r="R134" i="51"/>
  <c r="R327" i="51"/>
  <c r="R328" i="51"/>
  <c r="R329" i="51"/>
  <c r="R135" i="51"/>
  <c r="R330" i="51"/>
  <c r="R331" i="51"/>
  <c r="R332" i="51"/>
  <c r="R333" i="51"/>
  <c r="R334" i="51"/>
  <c r="R335" i="51"/>
  <c r="R336" i="51"/>
  <c r="R337" i="51"/>
  <c r="R338" i="51"/>
  <c r="R339" i="51"/>
  <c r="R111" i="51"/>
  <c r="R183" i="51"/>
  <c r="R184" i="51"/>
  <c r="R115" i="51"/>
  <c r="R116" i="51"/>
  <c r="R125" i="51"/>
  <c r="R136" i="51"/>
  <c r="R137" i="51"/>
  <c r="R194" i="51"/>
  <c r="R195" i="51"/>
  <c r="R190" i="51"/>
  <c r="R191" i="51"/>
  <c r="R340" i="51"/>
  <c r="R341" i="51"/>
  <c r="R342" i="51"/>
  <c r="R343" i="51"/>
  <c r="R344" i="51"/>
  <c r="R345" i="51"/>
  <c r="R346" i="51"/>
  <c r="R347" i="51"/>
  <c r="R348" i="51"/>
  <c r="R349" i="51"/>
  <c r="R350" i="51"/>
  <c r="R351" i="51"/>
  <c r="R352" i="51"/>
  <c r="R353" i="51"/>
  <c r="R354" i="51"/>
  <c r="R355" i="51"/>
  <c r="R356" i="51"/>
  <c r="R357" i="51"/>
  <c r="R358" i="51"/>
  <c r="R359" i="51"/>
  <c r="R360" i="51"/>
  <c r="R361" i="51"/>
  <c r="Q8" i="51"/>
  <c r="Q13" i="51"/>
  <c r="Q9" i="51"/>
  <c r="Q10" i="51"/>
  <c r="Q20" i="51"/>
  <c r="Q15" i="51"/>
  <c r="Q22" i="51"/>
  <c r="Q17" i="51"/>
  <c r="Q28" i="51"/>
  <c r="Q12" i="51"/>
  <c r="Q32" i="51"/>
  <c r="Q33" i="51"/>
  <c r="Q23" i="51"/>
  <c r="Q24" i="51"/>
  <c r="Q47" i="51"/>
  <c r="Q50" i="51"/>
  <c r="Q25" i="51"/>
  <c r="Q211" i="51"/>
  <c r="Q212" i="51"/>
  <c r="Q14" i="51"/>
  <c r="Q213" i="51"/>
  <c r="Q214" i="51"/>
  <c r="Q29" i="51"/>
  <c r="Q34" i="51"/>
  <c r="Q44" i="51"/>
  <c r="Q37" i="51"/>
  <c r="Q132" i="51"/>
  <c r="Q42" i="51"/>
  <c r="Q38" i="51"/>
  <c r="Q52" i="51"/>
  <c r="Q66" i="51"/>
  <c r="Q41" i="51"/>
  <c r="Q129" i="51"/>
  <c r="Q130" i="51"/>
  <c r="Q102" i="51"/>
  <c r="Q72" i="51"/>
  <c r="Q80" i="51"/>
  <c r="Q53" i="51"/>
  <c r="Q103" i="51"/>
  <c r="Q73" i="51"/>
  <c r="Q55" i="51"/>
  <c r="Q215" i="51"/>
  <c r="Q216" i="51"/>
  <c r="Q48" i="51"/>
  <c r="Q46" i="51"/>
  <c r="Q217" i="51"/>
  <c r="Q218" i="51"/>
  <c r="Q92" i="51"/>
  <c r="Q93" i="51"/>
  <c r="Q71" i="51"/>
  <c r="Q64" i="51"/>
  <c r="Q54" i="51"/>
  <c r="Q81" i="51"/>
  <c r="Q56" i="51"/>
  <c r="Q97" i="51"/>
  <c r="Q219" i="51"/>
  <c r="Q220" i="51"/>
  <c r="Q221" i="51"/>
  <c r="Q222" i="51"/>
  <c r="Q65" i="51"/>
  <c r="Q69" i="51"/>
  <c r="Q223" i="51"/>
  <c r="Q224" i="51"/>
  <c r="Q75" i="51"/>
  <c r="Q67" i="51"/>
  <c r="Q225" i="51"/>
  <c r="Q226" i="51"/>
  <c r="Q76" i="51"/>
  <c r="Q70" i="51"/>
  <c r="Q163" i="51"/>
  <c r="Q227" i="51"/>
  <c r="Q228" i="51"/>
  <c r="Q79" i="51"/>
  <c r="Q229" i="51"/>
  <c r="Q82" i="51"/>
  <c r="Q83" i="51"/>
  <c r="Q84" i="51"/>
  <c r="Q85" i="51"/>
  <c r="Q86" i="51"/>
  <c r="Q87" i="51"/>
  <c r="Q88" i="51"/>
  <c r="Q61" i="51"/>
  <c r="Q230" i="51"/>
  <c r="Q231" i="51"/>
  <c r="Q232" i="51"/>
  <c r="Q94" i="51"/>
  <c r="Q95" i="51"/>
  <c r="Q74" i="51"/>
  <c r="Q172" i="51"/>
  <c r="Q233" i="51"/>
  <c r="Q234" i="51"/>
  <c r="Q235" i="51"/>
  <c r="Q236" i="51"/>
  <c r="Q237" i="51"/>
  <c r="Q98" i="51"/>
  <c r="Q99" i="51"/>
  <c r="Q100" i="51"/>
  <c r="Q101" i="51"/>
  <c r="Q91" i="51"/>
  <c r="Q108" i="51"/>
  <c r="Q109" i="51"/>
  <c r="Q110" i="51"/>
  <c r="Q104" i="51"/>
  <c r="Q105" i="51"/>
  <c r="Q106" i="51"/>
  <c r="Q107" i="51"/>
  <c r="Q238" i="51"/>
  <c r="Q239" i="51"/>
  <c r="Q240" i="51"/>
  <c r="Q241" i="51"/>
  <c r="Q242" i="51"/>
  <c r="Q243" i="51"/>
  <c r="Q173" i="51"/>
  <c r="Q244" i="51"/>
  <c r="Q245" i="51"/>
  <c r="Q246" i="51"/>
  <c r="Q133" i="51"/>
  <c r="Q127" i="51"/>
  <c r="Q118" i="51"/>
  <c r="Q119" i="51"/>
  <c r="Q120" i="51"/>
  <c r="Q247" i="51"/>
  <c r="Q248" i="51"/>
  <c r="Q164" i="51"/>
  <c r="Q174" i="51"/>
  <c r="Q121" i="51"/>
  <c r="Q122" i="51"/>
  <c r="Q249" i="51"/>
  <c r="Q250" i="51"/>
  <c r="Q138" i="51"/>
  <c r="Q139" i="51"/>
  <c r="Q140" i="51"/>
  <c r="Q141" i="51"/>
  <c r="Q142" i="51"/>
  <c r="Q175" i="51"/>
  <c r="Q251" i="51"/>
  <c r="Q185" i="51"/>
  <c r="Q252" i="51"/>
  <c r="Q253" i="51"/>
  <c r="Q254" i="51"/>
  <c r="Q255" i="51"/>
  <c r="Q256" i="51"/>
  <c r="Q257" i="51"/>
  <c r="Q258" i="51"/>
  <c r="Q259" i="51"/>
  <c r="Q260" i="51"/>
  <c r="Q261" i="51"/>
  <c r="Q262" i="51"/>
  <c r="Q263" i="51"/>
  <c r="Q264" i="51"/>
  <c r="Q265" i="51"/>
  <c r="Q266" i="51"/>
  <c r="Q267" i="51"/>
  <c r="Q268" i="51"/>
  <c r="Q269" i="51"/>
  <c r="Q270" i="51"/>
  <c r="Q271" i="51"/>
  <c r="Q272" i="51"/>
  <c r="Q273" i="51"/>
  <c r="Q274" i="51"/>
  <c r="Q275" i="51"/>
  <c r="Q131" i="51"/>
  <c r="Q276" i="51"/>
  <c r="Q277" i="51"/>
  <c r="Q278" i="51"/>
  <c r="Q279" i="51"/>
  <c r="Q143" i="51"/>
  <c r="Q144" i="51"/>
  <c r="Q145" i="51"/>
  <c r="Q146" i="51"/>
  <c r="Q147" i="51"/>
  <c r="Q148" i="51"/>
  <c r="Q149" i="51"/>
  <c r="Q150" i="51"/>
  <c r="Q151" i="51"/>
  <c r="Q152" i="51"/>
  <c r="Q153" i="51"/>
  <c r="Q154" i="51"/>
  <c r="Q155" i="51"/>
  <c r="Q156" i="51"/>
  <c r="Q157" i="51"/>
  <c r="Q158" i="51"/>
  <c r="Q159" i="51"/>
  <c r="Q160" i="51"/>
  <c r="Q161" i="51"/>
  <c r="Q162" i="51"/>
  <c r="Q123" i="51"/>
  <c r="Q124" i="51"/>
  <c r="Q280" i="51"/>
  <c r="Q281" i="51"/>
  <c r="Q282" i="51"/>
  <c r="Q283" i="51"/>
  <c r="Q284" i="51"/>
  <c r="Q285" i="51"/>
  <c r="Q286" i="51"/>
  <c r="Q165" i="51"/>
  <c r="Q166" i="51"/>
  <c r="Q167" i="51"/>
  <c r="Q168" i="51"/>
  <c r="Q169" i="51"/>
  <c r="Q170" i="51"/>
  <c r="Q171" i="51"/>
  <c r="Q112" i="51"/>
  <c r="Q113" i="51"/>
  <c r="Q181" i="51"/>
  <c r="Q126" i="51"/>
  <c r="Q182" i="51"/>
  <c r="Q176" i="51"/>
  <c r="Q177" i="51"/>
  <c r="Q178" i="51"/>
  <c r="Q179" i="51"/>
  <c r="Q96" i="51"/>
  <c r="Q180" i="51"/>
  <c r="Q287" i="51"/>
  <c r="Q288" i="51"/>
  <c r="Q289" i="51"/>
  <c r="Q290" i="51"/>
  <c r="Q291" i="51"/>
  <c r="Q292" i="51"/>
  <c r="Q293" i="51"/>
  <c r="Q294" i="51"/>
  <c r="Q295" i="51"/>
  <c r="Q296" i="51"/>
  <c r="Q297" i="51"/>
  <c r="Q298" i="51"/>
  <c r="Q299" i="51"/>
  <c r="Q300" i="51"/>
  <c r="Q301" i="51"/>
  <c r="Q302" i="51"/>
  <c r="Q303" i="51"/>
  <c r="Q304" i="51"/>
  <c r="Q305" i="51"/>
  <c r="Q198" i="51"/>
  <c r="Q306" i="51"/>
  <c r="Q307" i="51"/>
  <c r="Q308" i="51"/>
  <c r="Q199" i="51"/>
  <c r="Q309" i="51"/>
  <c r="Q310" i="51"/>
  <c r="Q186" i="51"/>
  <c r="Q311" i="51"/>
  <c r="Q312" i="51"/>
  <c r="Q313" i="51"/>
  <c r="Q314" i="51"/>
  <c r="Q315" i="51"/>
  <c r="Q316" i="51"/>
  <c r="Q317" i="51"/>
  <c r="Q318" i="51"/>
  <c r="Q319" i="51"/>
  <c r="Q320" i="51"/>
  <c r="Q200" i="51"/>
  <c r="Q321" i="51"/>
  <c r="Q322" i="51"/>
  <c r="Q323" i="51"/>
  <c r="Q324" i="51"/>
  <c r="Q325" i="51"/>
  <c r="Q326" i="51"/>
  <c r="Q134" i="51"/>
  <c r="Q327" i="51"/>
  <c r="Q328" i="51"/>
  <c r="Q329" i="51"/>
  <c r="Q135" i="51"/>
  <c r="Q330" i="51"/>
  <c r="Q331" i="51"/>
  <c r="Q332" i="51"/>
  <c r="Q333" i="51"/>
  <c r="Q334" i="51"/>
  <c r="Q335" i="51"/>
  <c r="Q336" i="51"/>
  <c r="Q337" i="51"/>
  <c r="Q338" i="51"/>
  <c r="Q339" i="51"/>
  <c r="Q111" i="51"/>
  <c r="Q183" i="51"/>
  <c r="Q184" i="51"/>
  <c r="Q115" i="51"/>
  <c r="Q116" i="51"/>
  <c r="Q125" i="51"/>
  <c r="Q136" i="51"/>
  <c r="Q137" i="51"/>
  <c r="Q194" i="51"/>
  <c r="Q195" i="51"/>
  <c r="Q190" i="51"/>
  <c r="Q191" i="51"/>
  <c r="Q340" i="51"/>
  <c r="Q341" i="51"/>
  <c r="Q342" i="51"/>
  <c r="Q343" i="51"/>
  <c r="Q344" i="51"/>
  <c r="Q345" i="51"/>
  <c r="Q346" i="51"/>
  <c r="Q347" i="51"/>
  <c r="Q348" i="51"/>
  <c r="Q349" i="51"/>
  <c r="Q350" i="51"/>
  <c r="Q351" i="51"/>
  <c r="Q352" i="51"/>
  <c r="Q353" i="51"/>
  <c r="Q354" i="51"/>
  <c r="Q355" i="51"/>
  <c r="Q356" i="51"/>
  <c r="Q357" i="51"/>
  <c r="Q358" i="51"/>
  <c r="Q359" i="51"/>
  <c r="Q360" i="51"/>
  <c r="Q361" i="51"/>
  <c r="AC5" i="51"/>
  <c r="AD5" i="51"/>
  <c r="M115" i="51"/>
  <c r="M116" i="51"/>
  <c r="M125" i="51"/>
  <c r="M136" i="51"/>
  <c r="M137" i="51"/>
  <c r="M194" i="51"/>
  <c r="M195" i="51"/>
  <c r="M190" i="51"/>
  <c r="M191" i="51"/>
  <c r="N115" i="51"/>
  <c r="N116" i="51"/>
  <c r="N125" i="51"/>
  <c r="N136" i="51"/>
  <c r="N137" i="51"/>
  <c r="N194" i="51"/>
  <c r="N195" i="51"/>
  <c r="N190" i="51"/>
  <c r="N191" i="51"/>
  <c r="O115" i="51"/>
  <c r="O116" i="51"/>
  <c r="O125" i="51"/>
  <c r="O136" i="51"/>
  <c r="O137" i="51"/>
  <c r="O194" i="51"/>
  <c r="O195" i="51"/>
  <c r="O190" i="51"/>
  <c r="O191" i="51"/>
  <c r="P137" i="51"/>
  <c r="P190" i="51"/>
  <c r="P115" i="51"/>
  <c r="P116" i="51"/>
  <c r="P125" i="51"/>
  <c r="P136" i="51"/>
  <c r="P194" i="51"/>
  <c r="P195" i="51"/>
  <c r="P191" i="51"/>
  <c r="M111" i="51"/>
  <c r="M183" i="51"/>
  <c r="M184" i="51"/>
  <c r="N111" i="51"/>
  <c r="N183" i="51"/>
  <c r="N184" i="51"/>
  <c r="O111" i="51"/>
  <c r="O183" i="51"/>
  <c r="O184" i="51"/>
  <c r="P111" i="51"/>
  <c r="P183" i="51"/>
  <c r="P184" i="51"/>
  <c r="Q27" i="51"/>
  <c r="Q35" i="51"/>
  <c r="Q68" i="51"/>
  <c r="Q16" i="51"/>
  <c r="Q18" i="51"/>
  <c r="Q30" i="51"/>
  <c r="Q31" i="51"/>
  <c r="Q43" i="51"/>
  <c r="Q19" i="51"/>
  <c r="Q36" i="51"/>
  <c r="Q58" i="51"/>
  <c r="Q39" i="51"/>
  <c r="Q21" i="51"/>
  <c r="Q26" i="51"/>
  <c r="Q40" i="51"/>
  <c r="Q62" i="51"/>
  <c r="Q59" i="51"/>
  <c r="Q45" i="51"/>
  <c r="Q57" i="51"/>
  <c r="Q60" i="51"/>
  <c r="Q49" i="51"/>
  <c r="Q63" i="51"/>
  <c r="Q77" i="51"/>
  <c r="Q51" i="51"/>
  <c r="Q90" i="51"/>
  <c r="Q117" i="51"/>
  <c r="Q89" i="51"/>
  <c r="Q78" i="51"/>
  <c r="Q7" i="51"/>
  <c r="Q11" i="51"/>
  <c r="I136" i="51" l="1"/>
  <c r="G136" i="51"/>
  <c r="H136" i="51"/>
  <c r="I125" i="51"/>
  <c r="G125" i="51"/>
  <c r="H125" i="51"/>
  <c r="G116" i="51"/>
  <c r="H116" i="51"/>
  <c r="I116" i="51"/>
  <c r="H191" i="51"/>
  <c r="I191" i="51"/>
  <c r="G191" i="51"/>
  <c r="G115" i="51"/>
  <c r="H115" i="51"/>
  <c r="I115" i="51"/>
  <c r="G190" i="51"/>
  <c r="H190" i="51"/>
  <c r="I190" i="51"/>
  <c r="H184" i="51"/>
  <c r="I184" i="51"/>
  <c r="G184" i="51"/>
  <c r="I195" i="51"/>
  <c r="G195" i="51"/>
  <c r="H195" i="51"/>
  <c r="G183" i="51"/>
  <c r="H183" i="51"/>
  <c r="I183" i="51"/>
  <c r="G194" i="51"/>
  <c r="H194" i="51"/>
  <c r="I194" i="51"/>
  <c r="I111" i="51"/>
  <c r="G111" i="51"/>
  <c r="H111" i="51"/>
  <c r="G137" i="51"/>
  <c r="I137" i="51"/>
  <c r="H137" i="51"/>
  <c r="K190" i="51"/>
  <c r="K116" i="51"/>
  <c r="K191" i="51"/>
  <c r="K115" i="51"/>
  <c r="K195" i="51"/>
  <c r="K194" i="51"/>
  <c r="K137" i="51"/>
  <c r="K136" i="51"/>
  <c r="K125" i="51"/>
  <c r="K184" i="51"/>
  <c r="K183" i="51"/>
  <c r="K111" i="51"/>
  <c r="F137" i="51" l="1"/>
  <c r="F190" i="51"/>
  <c r="F125" i="51"/>
  <c r="F194" i="51"/>
  <c r="F116" i="51"/>
  <c r="F195" i="51"/>
  <c r="F115" i="51"/>
  <c r="F136" i="51"/>
  <c r="F191" i="51"/>
  <c r="F111" i="51"/>
  <c r="F183" i="51"/>
  <c r="F184" i="51"/>
  <c r="AJ5" i="52" l="1"/>
  <c r="L73" i="52"/>
  <c r="M73" i="52"/>
  <c r="N73" i="52"/>
  <c r="O73" i="52"/>
  <c r="P73" i="52"/>
  <c r="Q73" i="52"/>
  <c r="R73" i="52"/>
  <c r="L59" i="52"/>
  <c r="M59" i="52"/>
  <c r="N59" i="52"/>
  <c r="O59" i="52"/>
  <c r="P59" i="52"/>
  <c r="Q59" i="52"/>
  <c r="R59" i="52"/>
  <c r="L72" i="52"/>
  <c r="M72" i="52"/>
  <c r="N72" i="52"/>
  <c r="O72" i="52"/>
  <c r="P72" i="52"/>
  <c r="Q72" i="52"/>
  <c r="R72" i="52"/>
  <c r="L45" i="52"/>
  <c r="M45" i="52"/>
  <c r="N45" i="52"/>
  <c r="O45" i="52"/>
  <c r="P45" i="52"/>
  <c r="Q45" i="52"/>
  <c r="R45" i="52"/>
  <c r="L61" i="52"/>
  <c r="M61" i="52"/>
  <c r="N61" i="52"/>
  <c r="O61" i="52"/>
  <c r="P61" i="52"/>
  <c r="Q61" i="52"/>
  <c r="R61" i="52"/>
  <c r="L32" i="52"/>
  <c r="M32" i="52"/>
  <c r="N32" i="52"/>
  <c r="O32" i="52"/>
  <c r="P32" i="52"/>
  <c r="Q32" i="52"/>
  <c r="R32" i="52"/>
  <c r="P8" i="51"/>
  <c r="P7" i="51"/>
  <c r="P12" i="51"/>
  <c r="P29" i="51"/>
  <c r="P11" i="51"/>
  <c r="P13" i="51"/>
  <c r="P37" i="51"/>
  <c r="P38" i="51"/>
  <c r="P22" i="51"/>
  <c r="P23" i="51"/>
  <c r="P19" i="51"/>
  <c r="P36" i="51"/>
  <c r="P28" i="51"/>
  <c r="P50" i="51"/>
  <c r="P16" i="51"/>
  <c r="P41" i="51"/>
  <c r="P108" i="51"/>
  <c r="P109" i="51"/>
  <c r="P44" i="51"/>
  <c r="P69" i="51"/>
  <c r="P58" i="51"/>
  <c r="P49" i="51"/>
  <c r="P46" i="51"/>
  <c r="P75" i="51"/>
  <c r="P39" i="51"/>
  <c r="P40" i="51"/>
  <c r="P55" i="51"/>
  <c r="P61" i="51"/>
  <c r="P103" i="51"/>
  <c r="P64" i="51"/>
  <c r="P56" i="51"/>
  <c r="P110" i="51"/>
  <c r="P21" i="51"/>
  <c r="P66" i="51"/>
  <c r="P71" i="51"/>
  <c r="P54" i="51"/>
  <c r="P26" i="51"/>
  <c r="P53" i="51"/>
  <c r="P90" i="51"/>
  <c r="P181" i="51"/>
  <c r="P45" i="51"/>
  <c r="P57" i="51"/>
  <c r="P126" i="51"/>
  <c r="P182" i="51"/>
  <c r="P172" i="51"/>
  <c r="P173" i="51"/>
  <c r="P112" i="51"/>
  <c r="P113" i="51"/>
  <c r="P9" i="51"/>
  <c r="P10" i="51"/>
  <c r="P15" i="51"/>
  <c r="P20" i="51"/>
  <c r="P17" i="51"/>
  <c r="P27" i="51"/>
  <c r="P35" i="51"/>
  <c r="P68" i="51"/>
  <c r="P18" i="51"/>
  <c r="P30" i="51"/>
  <c r="P31" i="51"/>
  <c r="P32" i="51"/>
  <c r="P33" i="51"/>
  <c r="P43" i="51"/>
  <c r="P24" i="51"/>
  <c r="P47" i="51"/>
  <c r="P25" i="51"/>
  <c r="P211" i="51"/>
  <c r="P212" i="51"/>
  <c r="P14" i="51"/>
  <c r="P213" i="51"/>
  <c r="P214" i="51"/>
  <c r="P34" i="51"/>
  <c r="P132" i="51"/>
  <c r="P42" i="51"/>
  <c r="P52" i="51"/>
  <c r="P129" i="51"/>
  <c r="P130" i="51"/>
  <c r="P102" i="51"/>
  <c r="P72" i="51"/>
  <c r="P80" i="51"/>
  <c r="P73" i="51"/>
  <c r="P215" i="51"/>
  <c r="P216" i="51"/>
  <c r="P48" i="51"/>
  <c r="P62" i="51"/>
  <c r="P59" i="51"/>
  <c r="P217" i="51"/>
  <c r="P218" i="51"/>
  <c r="P92" i="51"/>
  <c r="P93" i="51"/>
  <c r="P81" i="51"/>
  <c r="P97" i="51"/>
  <c r="P219" i="51"/>
  <c r="P220" i="51"/>
  <c r="P221" i="51"/>
  <c r="P222" i="51"/>
  <c r="P65" i="51"/>
  <c r="P223" i="51"/>
  <c r="P224" i="51"/>
  <c r="P67" i="51"/>
  <c r="P225" i="51"/>
  <c r="P226" i="51"/>
  <c r="P76" i="51"/>
  <c r="P70" i="51"/>
  <c r="P163" i="51"/>
  <c r="P227" i="51"/>
  <c r="P228" i="51"/>
  <c r="P79" i="51"/>
  <c r="P229" i="51"/>
  <c r="P60" i="51"/>
  <c r="P82" i="51"/>
  <c r="P83" i="51"/>
  <c r="P84" i="51"/>
  <c r="P85" i="51"/>
  <c r="P86" i="51"/>
  <c r="P87" i="51"/>
  <c r="P88" i="51"/>
  <c r="P230" i="51"/>
  <c r="P231" i="51"/>
  <c r="P232" i="51"/>
  <c r="P63" i="51"/>
  <c r="P94" i="51"/>
  <c r="P95" i="51"/>
  <c r="P74" i="51"/>
  <c r="P233" i="51"/>
  <c r="P234" i="51"/>
  <c r="P235" i="51"/>
  <c r="P236" i="51"/>
  <c r="P237" i="51"/>
  <c r="P98" i="51"/>
  <c r="P99" i="51"/>
  <c r="P100" i="51"/>
  <c r="P101" i="51"/>
  <c r="P91" i="51"/>
  <c r="P104" i="51"/>
  <c r="P105" i="51"/>
  <c r="P106" i="51"/>
  <c r="P107" i="51"/>
  <c r="P238" i="51"/>
  <c r="P239" i="51"/>
  <c r="P240" i="51"/>
  <c r="P241" i="51"/>
  <c r="P242" i="51"/>
  <c r="P77" i="51"/>
  <c r="P243" i="51"/>
  <c r="P244" i="51"/>
  <c r="P245" i="51"/>
  <c r="P246" i="51"/>
  <c r="P133" i="51"/>
  <c r="P127" i="51"/>
  <c r="P118" i="51"/>
  <c r="P119" i="51"/>
  <c r="P120" i="51"/>
  <c r="P247" i="51"/>
  <c r="P248" i="51"/>
  <c r="P51" i="51"/>
  <c r="P164" i="51"/>
  <c r="P174" i="51"/>
  <c r="P121" i="51"/>
  <c r="P122" i="51"/>
  <c r="P249" i="51"/>
  <c r="P250" i="51"/>
  <c r="P138" i="51"/>
  <c r="P139" i="51"/>
  <c r="P140" i="51"/>
  <c r="P141" i="51"/>
  <c r="P142" i="51"/>
  <c r="P175" i="51"/>
  <c r="P117" i="51"/>
  <c r="P251" i="51"/>
  <c r="P185" i="51"/>
  <c r="P89" i="51"/>
  <c r="P252" i="51"/>
  <c r="P78" i="51"/>
  <c r="P253" i="51"/>
  <c r="P254" i="51"/>
  <c r="P255" i="51"/>
  <c r="P256" i="51"/>
  <c r="P257" i="51"/>
  <c r="P258" i="51"/>
  <c r="P259" i="51"/>
  <c r="P260" i="51"/>
  <c r="P261" i="51"/>
  <c r="P262" i="51"/>
  <c r="P263" i="51"/>
  <c r="P264" i="51"/>
  <c r="P265" i="51"/>
  <c r="P266" i="51"/>
  <c r="P267" i="51"/>
  <c r="P268" i="51"/>
  <c r="P269" i="51"/>
  <c r="P270" i="51"/>
  <c r="P271" i="51"/>
  <c r="P272" i="51"/>
  <c r="P273" i="51"/>
  <c r="P274" i="51"/>
  <c r="P275" i="51"/>
  <c r="P131" i="51"/>
  <c r="P276" i="51"/>
  <c r="P277" i="51"/>
  <c r="P278" i="51"/>
  <c r="P279" i="51"/>
  <c r="P143" i="51"/>
  <c r="P144" i="51"/>
  <c r="P145" i="51"/>
  <c r="P146" i="51"/>
  <c r="P147" i="51"/>
  <c r="P148" i="51"/>
  <c r="P149" i="51"/>
  <c r="P150" i="51"/>
  <c r="P151" i="51"/>
  <c r="P152" i="51"/>
  <c r="P153" i="51"/>
  <c r="P154" i="51"/>
  <c r="P155" i="51"/>
  <c r="P156" i="51"/>
  <c r="P157" i="51"/>
  <c r="P158" i="51"/>
  <c r="P159" i="51"/>
  <c r="P160" i="51"/>
  <c r="P161" i="51"/>
  <c r="P162" i="51"/>
  <c r="P123" i="51"/>
  <c r="P124" i="51"/>
  <c r="P280" i="51"/>
  <c r="P281" i="51"/>
  <c r="P282" i="51"/>
  <c r="P283" i="51"/>
  <c r="P284" i="51"/>
  <c r="P285" i="51"/>
  <c r="P286" i="51"/>
  <c r="P165" i="51"/>
  <c r="P166" i="51"/>
  <c r="P167" i="51"/>
  <c r="P168" i="51"/>
  <c r="P169" i="51"/>
  <c r="P170" i="51"/>
  <c r="P171" i="51"/>
  <c r="P176" i="51"/>
  <c r="P177" i="51"/>
  <c r="P178" i="51"/>
  <c r="P179" i="51"/>
  <c r="P96" i="51"/>
  <c r="P180" i="51"/>
  <c r="P287" i="51"/>
  <c r="P288" i="51"/>
  <c r="P289" i="51"/>
  <c r="P290" i="51"/>
  <c r="P291" i="51"/>
  <c r="P292" i="51"/>
  <c r="P293" i="51"/>
  <c r="P294" i="51"/>
  <c r="P295" i="51"/>
  <c r="P296" i="51"/>
  <c r="P297" i="51"/>
  <c r="P298" i="51"/>
  <c r="P299" i="51"/>
  <c r="P300" i="51"/>
  <c r="P301" i="51"/>
  <c r="P302" i="51"/>
  <c r="P303" i="51"/>
  <c r="P304" i="51"/>
  <c r="P305" i="51"/>
  <c r="P198" i="51"/>
  <c r="P306" i="51"/>
  <c r="P307" i="51"/>
  <c r="P308" i="51"/>
  <c r="P199" i="51"/>
  <c r="P309" i="51"/>
  <c r="P310" i="51"/>
  <c r="P186" i="51"/>
  <c r="P311" i="51"/>
  <c r="P312" i="51"/>
  <c r="P313" i="51"/>
  <c r="P314" i="51"/>
  <c r="P315" i="51"/>
  <c r="P316" i="51"/>
  <c r="P317" i="51"/>
  <c r="P318" i="51"/>
  <c r="P319" i="51"/>
  <c r="P320" i="51"/>
  <c r="P200" i="51"/>
  <c r="P321" i="51"/>
  <c r="P322" i="51"/>
  <c r="P323" i="51"/>
  <c r="P324" i="51"/>
  <c r="P325" i="51"/>
  <c r="P326" i="51"/>
  <c r="P134" i="51"/>
  <c r="P327" i="51"/>
  <c r="P328" i="51"/>
  <c r="P329" i="51"/>
  <c r="P135" i="51"/>
  <c r="P330" i="51"/>
  <c r="P331" i="51"/>
  <c r="P332" i="51"/>
  <c r="P333" i="51"/>
  <c r="P334" i="51"/>
  <c r="P335" i="51"/>
  <c r="P336" i="51"/>
  <c r="P337" i="51"/>
  <c r="P338" i="51"/>
  <c r="P339" i="51"/>
  <c r="P340" i="51"/>
  <c r="P341" i="51"/>
  <c r="P342" i="51"/>
  <c r="P343" i="51"/>
  <c r="P344" i="51"/>
  <c r="P345" i="51"/>
  <c r="P346" i="51"/>
  <c r="P347" i="51"/>
  <c r="P348" i="51"/>
  <c r="P349" i="51"/>
  <c r="P350" i="51"/>
  <c r="P351" i="51"/>
  <c r="P352" i="51"/>
  <c r="P353" i="51"/>
  <c r="P354" i="51"/>
  <c r="P355" i="51"/>
  <c r="P356" i="51"/>
  <c r="P357" i="51"/>
  <c r="P358" i="51"/>
  <c r="P359" i="51"/>
  <c r="P360" i="51"/>
  <c r="P361" i="51"/>
  <c r="AB5" i="51"/>
  <c r="O113" i="51"/>
  <c r="N113" i="51"/>
  <c r="M113" i="51"/>
  <c r="M112" i="51"/>
  <c r="N112" i="51"/>
  <c r="O112" i="51"/>
  <c r="M182" i="51"/>
  <c r="N182" i="51"/>
  <c r="O182" i="51"/>
  <c r="M126" i="51"/>
  <c r="N126" i="51"/>
  <c r="O126" i="51"/>
  <c r="M181" i="51"/>
  <c r="N181" i="51"/>
  <c r="O181" i="51"/>
  <c r="M110" i="51"/>
  <c r="N110" i="51"/>
  <c r="O110" i="51"/>
  <c r="M109" i="51"/>
  <c r="N109" i="51"/>
  <c r="O109" i="51"/>
  <c r="M108" i="51"/>
  <c r="N108" i="51"/>
  <c r="O108" i="51"/>
  <c r="M38" i="51"/>
  <c r="N38" i="51"/>
  <c r="O38" i="51"/>
  <c r="G110" i="51" l="1"/>
  <c r="H110" i="51"/>
  <c r="I110" i="51"/>
  <c r="G182" i="51"/>
  <c r="H182" i="51"/>
  <c r="I182" i="51"/>
  <c r="I181" i="51"/>
  <c r="G181" i="51"/>
  <c r="H181" i="51"/>
  <c r="G112" i="51"/>
  <c r="H112" i="51"/>
  <c r="I112" i="51"/>
  <c r="G108" i="51"/>
  <c r="H108" i="51"/>
  <c r="I108" i="51"/>
  <c r="G109" i="51"/>
  <c r="H109" i="51"/>
  <c r="I109" i="51"/>
  <c r="H113" i="51"/>
  <c r="I113" i="51"/>
  <c r="G113" i="51"/>
  <c r="G126" i="51"/>
  <c r="H126" i="51"/>
  <c r="I126" i="51"/>
  <c r="G38" i="51"/>
  <c r="H38" i="51"/>
  <c r="I38" i="51"/>
  <c r="K113" i="51"/>
  <c r="K182" i="51"/>
  <c r="K112" i="51"/>
  <c r="K126" i="51"/>
  <c r="K181" i="51"/>
  <c r="K110" i="51"/>
  <c r="K109" i="51"/>
  <c r="K108" i="51"/>
  <c r="K38" i="51"/>
  <c r="F112" i="51" l="1"/>
  <c r="F113" i="51"/>
  <c r="F126" i="51"/>
  <c r="F38" i="51"/>
  <c r="F182" i="51"/>
  <c r="F109" i="51"/>
  <c r="F181" i="51"/>
  <c r="F108" i="51"/>
  <c r="F110" i="51"/>
  <c r="AF5" i="52"/>
  <c r="AA5" i="51"/>
  <c r="O13" i="51"/>
  <c r="O18" i="51"/>
  <c r="O9" i="51"/>
  <c r="O10" i="51"/>
  <c r="O8" i="51"/>
  <c r="O7" i="51"/>
  <c r="O22" i="51"/>
  <c r="O23" i="51"/>
  <c r="O16" i="51"/>
  <c r="O44" i="51"/>
  <c r="O30" i="51"/>
  <c r="O31" i="51"/>
  <c r="O28" i="51"/>
  <c r="O52" i="51"/>
  <c r="O17" i="51"/>
  <c r="O34" i="51"/>
  <c r="O12" i="51"/>
  <c r="O65" i="51"/>
  <c r="O132" i="51"/>
  <c r="O39" i="51"/>
  <c r="O175" i="51"/>
  <c r="O50" i="51"/>
  <c r="O54" i="51"/>
  <c r="O71" i="51"/>
  <c r="O59" i="51"/>
  <c r="O60" i="51"/>
  <c r="O41" i="51"/>
  <c r="O46" i="51"/>
  <c r="O56" i="51"/>
  <c r="O79" i="51"/>
  <c r="O176" i="51"/>
  <c r="O180" i="51"/>
  <c r="O76" i="51"/>
  <c r="O70" i="51"/>
  <c r="O106" i="51"/>
  <c r="O107" i="51"/>
  <c r="O104" i="51"/>
  <c r="O105" i="51"/>
  <c r="O61" i="51"/>
  <c r="O179" i="51"/>
  <c r="O177" i="51"/>
  <c r="O178" i="51"/>
  <c r="O174" i="51"/>
  <c r="O96" i="51"/>
  <c r="O11" i="51"/>
  <c r="O15" i="51"/>
  <c r="O20" i="51"/>
  <c r="O27" i="51"/>
  <c r="O35" i="51"/>
  <c r="O68" i="51"/>
  <c r="O19" i="51"/>
  <c r="O36" i="51"/>
  <c r="O32" i="51"/>
  <c r="O33" i="51"/>
  <c r="O43" i="51"/>
  <c r="O24" i="51"/>
  <c r="O47" i="51"/>
  <c r="O58" i="51"/>
  <c r="O48" i="51"/>
  <c r="O25" i="51"/>
  <c r="O211" i="51"/>
  <c r="O212" i="51"/>
  <c r="O14" i="51"/>
  <c r="O213" i="51"/>
  <c r="O214" i="51"/>
  <c r="O26" i="51"/>
  <c r="O103" i="51"/>
  <c r="O42" i="51"/>
  <c r="O230" i="51"/>
  <c r="O228" i="51"/>
  <c r="O21" i="51"/>
  <c r="O129" i="51"/>
  <c r="O130" i="51"/>
  <c r="O73" i="51"/>
  <c r="O348" i="51"/>
  <c r="O97" i="51"/>
  <c r="O53" i="51"/>
  <c r="O102" i="51"/>
  <c r="O66" i="51"/>
  <c r="O40" i="51"/>
  <c r="O55" i="51"/>
  <c r="O69" i="51"/>
  <c r="O72" i="51"/>
  <c r="O80" i="51"/>
  <c r="O215" i="51"/>
  <c r="O216" i="51"/>
  <c r="O246" i="51"/>
  <c r="O62" i="51"/>
  <c r="O163" i="51"/>
  <c r="O63" i="51"/>
  <c r="O245" i="51"/>
  <c r="O217" i="51"/>
  <c r="O218" i="51"/>
  <c r="O92" i="51"/>
  <c r="O93" i="51"/>
  <c r="O81" i="51"/>
  <c r="O172" i="51"/>
  <c r="O252" i="51"/>
  <c r="O244" i="51"/>
  <c r="O123" i="51"/>
  <c r="O124" i="51"/>
  <c r="O51" i="51"/>
  <c r="O331" i="51"/>
  <c r="O219" i="51"/>
  <c r="O220" i="51"/>
  <c r="O221" i="51"/>
  <c r="O222" i="51"/>
  <c r="O340" i="51"/>
  <c r="O341" i="51"/>
  <c r="O223" i="51"/>
  <c r="O45" i="51"/>
  <c r="O75" i="51"/>
  <c r="O67" i="51"/>
  <c r="O224" i="51"/>
  <c r="O57" i="51"/>
  <c r="O164" i="51"/>
  <c r="O238" i="51"/>
  <c r="O225" i="51"/>
  <c r="O250" i="51"/>
  <c r="O173" i="51"/>
  <c r="O226" i="51"/>
  <c r="O64" i="51"/>
  <c r="O349" i="51"/>
  <c r="O78" i="51"/>
  <c r="O227" i="51"/>
  <c r="O253" i="51"/>
  <c r="O254" i="51"/>
  <c r="O165" i="51"/>
  <c r="O229" i="51"/>
  <c r="O82" i="51"/>
  <c r="O83" i="51"/>
  <c r="O84" i="51"/>
  <c r="O85" i="51"/>
  <c r="O86" i="51"/>
  <c r="O87" i="51"/>
  <c r="O88" i="51"/>
  <c r="O297" i="51"/>
  <c r="O298" i="51"/>
  <c r="O231" i="51"/>
  <c r="O232" i="51"/>
  <c r="O94" i="51"/>
  <c r="O29" i="51"/>
  <c r="O95" i="51"/>
  <c r="O74" i="51"/>
  <c r="O98" i="51"/>
  <c r="O37" i="51"/>
  <c r="O99" i="51"/>
  <c r="O100" i="51"/>
  <c r="O101" i="51"/>
  <c r="O233" i="51"/>
  <c r="O234" i="51"/>
  <c r="O235" i="51"/>
  <c r="O236" i="51"/>
  <c r="O237" i="51"/>
  <c r="O91" i="51"/>
  <c r="O342" i="51"/>
  <c r="O343" i="51"/>
  <c r="O344" i="51"/>
  <c r="O345" i="51"/>
  <c r="O346" i="51"/>
  <c r="O347" i="51"/>
  <c r="O350" i="51"/>
  <c r="O351" i="51"/>
  <c r="O352" i="51"/>
  <c r="O353" i="51"/>
  <c r="O354" i="51"/>
  <c r="O355" i="51"/>
  <c r="O356" i="51"/>
  <c r="O357" i="51"/>
  <c r="O358" i="51"/>
  <c r="O359" i="51"/>
  <c r="O360" i="51"/>
  <c r="O361" i="51"/>
  <c r="O239" i="51"/>
  <c r="O240" i="51"/>
  <c r="O241" i="51"/>
  <c r="O242" i="51"/>
  <c r="O77" i="51"/>
  <c r="O243" i="51"/>
  <c r="O133" i="51"/>
  <c r="O127" i="51"/>
  <c r="O118" i="51"/>
  <c r="O119" i="51"/>
  <c r="O120" i="51"/>
  <c r="O247" i="51"/>
  <c r="O248" i="51"/>
  <c r="O121" i="51"/>
  <c r="O122" i="51"/>
  <c r="O249" i="51"/>
  <c r="O138" i="51"/>
  <c r="O139" i="51"/>
  <c r="O140" i="51"/>
  <c r="O141" i="51"/>
  <c r="O142" i="51"/>
  <c r="O117" i="51"/>
  <c r="O251" i="51"/>
  <c r="O89" i="51"/>
  <c r="O255" i="51"/>
  <c r="O256" i="51"/>
  <c r="O257" i="51"/>
  <c r="O258" i="51"/>
  <c r="O259" i="51"/>
  <c r="O260" i="51"/>
  <c r="O261" i="51"/>
  <c r="O262" i="51"/>
  <c r="O263" i="51"/>
  <c r="O264" i="51"/>
  <c r="O265" i="51"/>
  <c r="O266" i="51"/>
  <c r="O267" i="51"/>
  <c r="O268" i="51"/>
  <c r="O269" i="51"/>
  <c r="O270" i="51"/>
  <c r="O271" i="51"/>
  <c r="O272" i="51"/>
  <c r="O273" i="51"/>
  <c r="O274" i="51"/>
  <c r="O275" i="51"/>
  <c r="O131" i="51"/>
  <c r="O276" i="51"/>
  <c r="O277" i="51"/>
  <c r="O278" i="51"/>
  <c r="O90" i="51"/>
  <c r="O279" i="51"/>
  <c r="O143" i="51"/>
  <c r="O144" i="51"/>
  <c r="O145" i="51"/>
  <c r="O146" i="51"/>
  <c r="O147" i="51"/>
  <c r="O148" i="51"/>
  <c r="O149" i="51"/>
  <c r="O150" i="51"/>
  <c r="O151" i="51"/>
  <c r="O152" i="51"/>
  <c r="O153" i="51"/>
  <c r="O154" i="51"/>
  <c r="O155" i="51"/>
  <c r="O156" i="51"/>
  <c r="O157" i="51"/>
  <c r="O158" i="51"/>
  <c r="O159" i="51"/>
  <c r="O160" i="51"/>
  <c r="O161" i="51"/>
  <c r="O162" i="51"/>
  <c r="O49" i="51"/>
  <c r="O166" i="51"/>
  <c r="O167" i="51"/>
  <c r="O168" i="51"/>
  <c r="O169" i="51"/>
  <c r="O170" i="51"/>
  <c r="O171" i="51"/>
  <c r="O280" i="51"/>
  <c r="O281" i="51"/>
  <c r="O282" i="51"/>
  <c r="O283" i="51"/>
  <c r="O284" i="51"/>
  <c r="O285" i="51"/>
  <c r="O286" i="51"/>
  <c r="O287" i="51"/>
  <c r="O288" i="51"/>
  <c r="O289" i="51"/>
  <c r="O290" i="51"/>
  <c r="O291" i="51"/>
  <c r="O292" i="51"/>
  <c r="O293" i="51"/>
  <c r="O294" i="51"/>
  <c r="O295" i="51"/>
  <c r="O296" i="51"/>
  <c r="O299" i="51"/>
  <c r="O300" i="51"/>
  <c r="O301" i="51"/>
  <c r="O302" i="51"/>
  <c r="O185" i="51"/>
  <c r="O303" i="51"/>
  <c r="O304" i="51"/>
  <c r="O305" i="51"/>
  <c r="O198" i="51"/>
  <c r="O306" i="51"/>
  <c r="O307" i="51"/>
  <c r="O308" i="51"/>
  <c r="O199" i="51"/>
  <c r="O309" i="51"/>
  <c r="O310" i="51"/>
  <c r="O186" i="51"/>
  <c r="O311" i="51"/>
  <c r="O312" i="51"/>
  <c r="O313" i="51"/>
  <c r="O314" i="51"/>
  <c r="O315" i="51"/>
  <c r="O316" i="51"/>
  <c r="O317" i="51"/>
  <c r="O318" i="51"/>
  <c r="O319" i="51"/>
  <c r="O320" i="51"/>
  <c r="O200" i="51"/>
  <c r="O321" i="51"/>
  <c r="O322" i="51"/>
  <c r="O323" i="51"/>
  <c r="O324" i="51"/>
  <c r="O325" i="51"/>
  <c r="O326" i="51"/>
  <c r="O134" i="51"/>
  <c r="O327" i="51"/>
  <c r="O328" i="51"/>
  <c r="O329" i="51"/>
  <c r="O135" i="51"/>
  <c r="O330" i="51"/>
  <c r="O332" i="51"/>
  <c r="O333" i="51"/>
  <c r="O334" i="51"/>
  <c r="O335" i="51"/>
  <c r="O336" i="51"/>
  <c r="O337" i="51"/>
  <c r="O338" i="51"/>
  <c r="O339" i="51"/>
  <c r="M96" i="51"/>
  <c r="N96" i="51"/>
  <c r="M178" i="51"/>
  <c r="N178" i="51"/>
  <c r="M177" i="51"/>
  <c r="N177" i="51"/>
  <c r="M179" i="51"/>
  <c r="N179" i="51"/>
  <c r="M61" i="51"/>
  <c r="N61" i="51"/>
  <c r="N105" i="51"/>
  <c r="M105" i="51"/>
  <c r="N104" i="51"/>
  <c r="M104" i="51"/>
  <c r="M107" i="51"/>
  <c r="N107" i="51"/>
  <c r="M106" i="51"/>
  <c r="N106" i="51"/>
  <c r="M180" i="51"/>
  <c r="N180" i="51"/>
  <c r="M65" i="51"/>
  <c r="N65" i="51"/>
  <c r="AH5" i="52"/>
  <c r="L53" i="52"/>
  <c r="M53" i="52"/>
  <c r="N53" i="52"/>
  <c r="O53" i="52"/>
  <c r="P53" i="52"/>
  <c r="Q53" i="52"/>
  <c r="R53" i="52"/>
  <c r="L71" i="52"/>
  <c r="M71" i="52"/>
  <c r="N71" i="52"/>
  <c r="O71" i="52"/>
  <c r="P71" i="52"/>
  <c r="Q71" i="52"/>
  <c r="R71" i="52"/>
  <c r="L44" i="52"/>
  <c r="M44" i="52"/>
  <c r="N44" i="52"/>
  <c r="O44" i="52"/>
  <c r="P44" i="52"/>
  <c r="Q44" i="52"/>
  <c r="R44" i="52"/>
  <c r="Q7" i="52"/>
  <c r="Q8" i="52"/>
  <c r="Q15" i="52"/>
  <c r="Q10" i="52"/>
  <c r="Q16" i="52"/>
  <c r="Q11" i="52"/>
  <c r="Q9" i="52"/>
  <c r="Q12" i="52"/>
  <c r="Q19" i="52"/>
  <c r="Q13" i="52"/>
  <c r="Q14" i="52"/>
  <c r="Q40" i="52"/>
  <c r="Q18" i="52"/>
  <c r="Q17" i="52"/>
  <c r="Q81" i="52"/>
  <c r="Q82" i="52"/>
  <c r="Q34" i="52"/>
  <c r="Q107" i="52"/>
  <c r="Q20" i="52"/>
  <c r="Q21" i="52"/>
  <c r="Q25" i="52"/>
  <c r="Q35" i="52"/>
  <c r="Q39" i="52"/>
  <c r="Q55" i="52"/>
  <c r="Q36" i="52"/>
  <c r="Q24" i="52"/>
  <c r="Q31" i="52"/>
  <c r="Q29" i="52"/>
  <c r="Q30" i="52"/>
  <c r="Q26" i="52"/>
  <c r="Q54" i="52"/>
  <c r="Q83" i="52"/>
  <c r="Q62" i="52"/>
  <c r="Q37" i="52"/>
  <c r="Q85" i="52"/>
  <c r="Q23" i="52"/>
  <c r="Q84" i="52"/>
  <c r="Q94" i="52"/>
  <c r="Q48" i="52"/>
  <c r="Q51" i="52"/>
  <c r="Q89" i="52"/>
  <c r="Q56" i="52"/>
  <c r="Q33" i="52"/>
  <c r="Q46" i="52"/>
  <c r="Q86" i="52"/>
  <c r="Q103" i="52"/>
  <c r="Q43" i="52"/>
  <c r="Q58" i="52"/>
  <c r="Q87" i="52"/>
  <c r="Q27" i="52"/>
  <c r="Q88" i="52"/>
  <c r="Q42" i="52"/>
  <c r="Q41" i="52"/>
  <c r="Q60" i="52"/>
  <c r="Q90" i="52"/>
  <c r="Q91" i="52"/>
  <c r="Q92" i="52"/>
  <c r="Q49" i="52"/>
  <c r="Q65" i="52"/>
  <c r="Q93" i="52"/>
  <c r="Q64" i="52"/>
  <c r="Q95" i="52"/>
  <c r="Q96" i="52"/>
  <c r="Q97" i="52"/>
  <c r="Q98" i="52"/>
  <c r="Q63" i="52"/>
  <c r="Q99" i="52"/>
  <c r="Q50" i="52"/>
  <c r="Q67" i="52"/>
  <c r="Q68" i="52"/>
  <c r="Q22" i="52"/>
  <c r="Q28" i="52"/>
  <c r="Q47" i="52"/>
  <c r="Q69" i="52"/>
  <c r="Q70" i="52"/>
  <c r="Q38" i="52"/>
  <c r="Q57" i="52"/>
  <c r="Q100" i="52"/>
  <c r="Q101" i="52"/>
  <c r="Q102" i="52"/>
  <c r="Q52" i="52"/>
  <c r="Q104" i="52"/>
  <c r="Q105" i="52"/>
  <c r="Q106" i="52"/>
  <c r="R7" i="52"/>
  <c r="R8" i="52"/>
  <c r="R15" i="52"/>
  <c r="R10" i="52"/>
  <c r="R16" i="52"/>
  <c r="R11" i="52"/>
  <c r="R9" i="52"/>
  <c r="R12" i="52"/>
  <c r="R19" i="52"/>
  <c r="R13" i="52"/>
  <c r="R14" i="52"/>
  <c r="R40" i="52"/>
  <c r="R18" i="52"/>
  <c r="R17" i="52"/>
  <c r="R81" i="52"/>
  <c r="R82" i="52"/>
  <c r="R34" i="52"/>
  <c r="R107" i="52"/>
  <c r="R20" i="52"/>
  <c r="R21" i="52"/>
  <c r="R25" i="52"/>
  <c r="R35" i="52"/>
  <c r="R39" i="52"/>
  <c r="R55" i="52"/>
  <c r="R36" i="52"/>
  <c r="R24" i="52"/>
  <c r="R31" i="52"/>
  <c r="R29" i="52"/>
  <c r="R30" i="52"/>
  <c r="R26" i="52"/>
  <c r="R54" i="52"/>
  <c r="R83" i="52"/>
  <c r="R62" i="52"/>
  <c r="R37" i="52"/>
  <c r="R85" i="52"/>
  <c r="R23" i="52"/>
  <c r="R84" i="52"/>
  <c r="R94" i="52"/>
  <c r="R48" i="52"/>
  <c r="R51" i="52"/>
  <c r="R89" i="52"/>
  <c r="R56" i="52"/>
  <c r="R33" i="52"/>
  <c r="R46" i="52"/>
  <c r="R86" i="52"/>
  <c r="R103" i="52"/>
  <c r="R43" i="52"/>
  <c r="R58" i="52"/>
  <c r="R87" i="52"/>
  <c r="R27" i="52"/>
  <c r="R88" i="52"/>
  <c r="R42" i="52"/>
  <c r="R41" i="52"/>
  <c r="R60" i="52"/>
  <c r="R90" i="52"/>
  <c r="R91" i="52"/>
  <c r="R92" i="52"/>
  <c r="R49" i="52"/>
  <c r="R65" i="52"/>
  <c r="R93" i="52"/>
  <c r="R64" i="52"/>
  <c r="R95" i="52"/>
  <c r="R96" i="52"/>
  <c r="R97" i="52"/>
  <c r="R98" i="52"/>
  <c r="R63" i="52"/>
  <c r="R99" i="52"/>
  <c r="R50" i="52"/>
  <c r="R67" i="52"/>
  <c r="R68" i="52"/>
  <c r="R22" i="52"/>
  <c r="R28" i="52"/>
  <c r="R47" i="52"/>
  <c r="R69" i="52"/>
  <c r="R70" i="52"/>
  <c r="R38" i="52"/>
  <c r="R57" i="52"/>
  <c r="R100" i="52"/>
  <c r="R101" i="52"/>
  <c r="R102" i="52"/>
  <c r="R52" i="52"/>
  <c r="R104" i="52"/>
  <c r="R105" i="52"/>
  <c r="R106" i="52"/>
  <c r="N5" i="36"/>
  <c r="G106" i="51" l="1"/>
  <c r="H106" i="51"/>
  <c r="I106" i="51"/>
  <c r="G61" i="51"/>
  <c r="H61" i="51"/>
  <c r="I61" i="51"/>
  <c r="G96" i="51"/>
  <c r="H96" i="51"/>
  <c r="I96" i="51"/>
  <c r="H107" i="51"/>
  <c r="I107" i="51"/>
  <c r="G107" i="51"/>
  <c r="G179" i="51"/>
  <c r="H179" i="51"/>
  <c r="I179" i="51"/>
  <c r="I104" i="51"/>
  <c r="G104" i="51"/>
  <c r="H104" i="51"/>
  <c r="H65" i="51"/>
  <c r="I65" i="51"/>
  <c r="G65" i="51"/>
  <c r="G177" i="51"/>
  <c r="H177" i="51"/>
  <c r="I177" i="51"/>
  <c r="G105" i="51"/>
  <c r="H105" i="51"/>
  <c r="I105" i="51"/>
  <c r="G180" i="51"/>
  <c r="H180" i="51"/>
  <c r="I180" i="51"/>
  <c r="G178" i="51"/>
  <c r="H178" i="51"/>
  <c r="I178" i="51"/>
  <c r="K96" i="51"/>
  <c r="K177" i="51"/>
  <c r="K178" i="51"/>
  <c r="K179" i="51"/>
  <c r="K61" i="51"/>
  <c r="K105" i="51"/>
  <c r="K104" i="51"/>
  <c r="K107" i="51"/>
  <c r="K106" i="51"/>
  <c r="K180" i="51"/>
  <c r="K65" i="51"/>
  <c r="L92" i="52"/>
  <c r="M92" i="52"/>
  <c r="N92" i="52"/>
  <c r="O92" i="52"/>
  <c r="P92" i="52"/>
  <c r="L83" i="52"/>
  <c r="M83" i="52"/>
  <c r="N83" i="52"/>
  <c r="O83" i="52"/>
  <c r="P83" i="52"/>
  <c r="F96" i="51" l="1"/>
  <c r="F104" i="51"/>
  <c r="F61" i="51"/>
  <c r="F179" i="51"/>
  <c r="F177" i="51"/>
  <c r="F105" i="51"/>
  <c r="F106" i="51"/>
  <c r="F178" i="51"/>
  <c r="F107" i="51"/>
  <c r="F180" i="51"/>
  <c r="F65" i="51"/>
  <c r="M239" i="51" l="1"/>
  <c r="M240" i="51"/>
  <c r="M242" i="51"/>
  <c r="M243" i="51"/>
  <c r="M241" i="51"/>
  <c r="M77" i="51"/>
  <c r="M287" i="51"/>
  <c r="M288" i="51"/>
  <c r="M289" i="51"/>
  <c r="M290" i="51"/>
  <c r="M291" i="51"/>
  <c r="M293" i="51"/>
  <c r="M292" i="51"/>
  <c r="M294" i="51"/>
  <c r="M296" i="51"/>
  <c r="M295" i="51"/>
  <c r="N239" i="51"/>
  <c r="N240" i="51"/>
  <c r="N242" i="51"/>
  <c r="N243" i="51"/>
  <c r="N241" i="51"/>
  <c r="N77" i="51"/>
  <c r="N287" i="51"/>
  <c r="N288" i="51"/>
  <c r="N289" i="51"/>
  <c r="N290" i="51"/>
  <c r="N291" i="51"/>
  <c r="N293" i="51"/>
  <c r="N292" i="51"/>
  <c r="N294" i="51"/>
  <c r="N296" i="51"/>
  <c r="N295" i="51"/>
  <c r="G295" i="51" l="1"/>
  <c r="H295" i="51"/>
  <c r="I295" i="51"/>
  <c r="I288" i="51"/>
  <c r="G288" i="51"/>
  <c r="H288" i="51"/>
  <c r="I296" i="51"/>
  <c r="G296" i="51"/>
  <c r="H296" i="51"/>
  <c r="G287" i="51"/>
  <c r="H287" i="51"/>
  <c r="I287" i="51"/>
  <c r="G77" i="51"/>
  <c r="H77" i="51"/>
  <c r="I77" i="51"/>
  <c r="G292" i="51"/>
  <c r="H292" i="51"/>
  <c r="I292" i="51"/>
  <c r="G241" i="51"/>
  <c r="H241" i="51"/>
  <c r="I241" i="51"/>
  <c r="G294" i="51"/>
  <c r="H294" i="51"/>
  <c r="I294" i="51"/>
  <c r="G293" i="51"/>
  <c r="H293" i="51"/>
  <c r="I293" i="51"/>
  <c r="G243" i="51"/>
  <c r="H243" i="51"/>
  <c r="I243" i="51"/>
  <c r="H291" i="51"/>
  <c r="I291" i="51"/>
  <c r="G291" i="51"/>
  <c r="G242" i="51"/>
  <c r="H242" i="51"/>
  <c r="I242" i="51"/>
  <c r="G290" i="51"/>
  <c r="H290" i="51"/>
  <c r="I290" i="51"/>
  <c r="G240" i="51"/>
  <c r="H240" i="51"/>
  <c r="I240" i="51"/>
  <c r="G289" i="51"/>
  <c r="H289" i="51"/>
  <c r="I289" i="51"/>
  <c r="H239" i="51"/>
  <c r="I239" i="51"/>
  <c r="G239" i="51"/>
  <c r="K294" i="51"/>
  <c r="K77" i="51"/>
  <c r="K292" i="51"/>
  <c r="K241" i="51"/>
  <c r="K293" i="51"/>
  <c r="K243" i="51"/>
  <c r="K291" i="51"/>
  <c r="K242" i="51"/>
  <c r="K290" i="51"/>
  <c r="K240" i="51"/>
  <c r="K289" i="51"/>
  <c r="K239" i="51"/>
  <c r="K295" i="51"/>
  <c r="K288" i="51"/>
  <c r="K296" i="51"/>
  <c r="K287" i="51"/>
  <c r="E16" i="36"/>
  <c r="E17" i="36"/>
  <c r="E26" i="36"/>
  <c r="E27" i="36"/>
  <c r="E28" i="36"/>
  <c r="E34" i="36"/>
  <c r="E35" i="36"/>
  <c r="E42" i="36"/>
  <c r="E50" i="36"/>
  <c r="E48" i="36"/>
  <c r="E49" i="36"/>
  <c r="E55" i="36"/>
  <c r="E56" i="36"/>
  <c r="E62" i="36"/>
  <c r="E63" i="36"/>
  <c r="E72" i="36"/>
  <c r="E73" i="36"/>
  <c r="E81" i="36"/>
  <c r="E89" i="36"/>
  <c r="E90" i="36"/>
  <c r="E91" i="36"/>
  <c r="E92" i="36"/>
  <c r="E93" i="36"/>
  <c r="E94" i="36"/>
  <c r="E96" i="36"/>
  <c r="E107" i="36"/>
  <c r="E108" i="36"/>
  <c r="E112" i="36"/>
  <c r="E113" i="36"/>
  <c r="E120" i="36"/>
  <c r="E125" i="36"/>
  <c r="E126" i="36"/>
  <c r="E128" i="36"/>
  <c r="E129" i="36"/>
  <c r="E130" i="36"/>
  <c r="E131" i="36"/>
  <c r="E132" i="36"/>
  <c r="E133" i="36"/>
  <c r="E134" i="36"/>
  <c r="E140" i="36"/>
  <c r="E141" i="36"/>
  <c r="E147" i="36"/>
  <c r="E148" i="36"/>
  <c r="E149" i="36"/>
  <c r="E151" i="36"/>
  <c r="E154" i="36"/>
  <c r="E155" i="36"/>
  <c r="E156" i="36"/>
  <c r="E157" i="36"/>
  <c r="E164" i="36"/>
  <c r="E165" i="36"/>
  <c r="E166" i="36"/>
  <c r="E167" i="36"/>
  <c r="E170" i="36"/>
  <c r="E171" i="36"/>
  <c r="E172" i="36"/>
  <c r="N7" i="51"/>
  <c r="N11" i="51"/>
  <c r="N13" i="51"/>
  <c r="N10" i="51"/>
  <c r="N9" i="51"/>
  <c r="N15" i="51"/>
  <c r="N20" i="51"/>
  <c r="N30" i="51"/>
  <c r="N27" i="51"/>
  <c r="N35" i="51"/>
  <c r="N22" i="51"/>
  <c r="N28" i="51"/>
  <c r="N31" i="51"/>
  <c r="N17" i="51"/>
  <c r="N68" i="51"/>
  <c r="N19" i="51"/>
  <c r="N36" i="51"/>
  <c r="N47" i="51"/>
  <c r="N50" i="51"/>
  <c r="N32" i="51"/>
  <c r="N33" i="51"/>
  <c r="N43" i="51"/>
  <c r="N24" i="51"/>
  <c r="N58" i="51"/>
  <c r="N12" i="51"/>
  <c r="N211" i="51"/>
  <c r="N212" i="51"/>
  <c r="N25" i="51"/>
  <c r="N44" i="51"/>
  <c r="N14" i="51"/>
  <c r="N23" i="51"/>
  <c r="N213" i="51"/>
  <c r="N214" i="51"/>
  <c r="N48" i="51"/>
  <c r="N18" i="51"/>
  <c r="N132" i="51"/>
  <c r="N16" i="51"/>
  <c r="N26" i="51"/>
  <c r="N39" i="51"/>
  <c r="N34" i="51"/>
  <c r="N103" i="51"/>
  <c r="N228" i="51"/>
  <c r="N42" i="51"/>
  <c r="N52" i="51"/>
  <c r="N129" i="51"/>
  <c r="N130" i="51"/>
  <c r="N230" i="51"/>
  <c r="N21" i="51"/>
  <c r="N348" i="51"/>
  <c r="N97" i="51"/>
  <c r="N53" i="51"/>
  <c r="N73" i="51"/>
  <c r="N102" i="51"/>
  <c r="N40" i="51"/>
  <c r="N55" i="51"/>
  <c r="N69" i="51"/>
  <c r="N80" i="51"/>
  <c r="N215" i="51"/>
  <c r="N216" i="51"/>
  <c r="N246" i="51"/>
  <c r="N62" i="51"/>
  <c r="N59" i="51"/>
  <c r="N63" i="51"/>
  <c r="N245" i="51"/>
  <c r="N217" i="51"/>
  <c r="N218" i="51"/>
  <c r="N71" i="51"/>
  <c r="N66" i="51"/>
  <c r="N172" i="51"/>
  <c r="N244" i="51"/>
  <c r="N252" i="51"/>
  <c r="N81" i="51"/>
  <c r="N123" i="51"/>
  <c r="N124" i="51"/>
  <c r="N51" i="51"/>
  <c r="N163" i="51"/>
  <c r="N331" i="51"/>
  <c r="N219" i="51"/>
  <c r="N220" i="51"/>
  <c r="N222" i="51"/>
  <c r="N340" i="51"/>
  <c r="N341" i="51"/>
  <c r="N54" i="51"/>
  <c r="N223" i="51"/>
  <c r="N75" i="51"/>
  <c r="N224" i="51"/>
  <c r="N67" i="51"/>
  <c r="N72" i="51"/>
  <c r="N164" i="51"/>
  <c r="N238" i="51"/>
  <c r="N250" i="51"/>
  <c r="N173" i="51"/>
  <c r="N226" i="51"/>
  <c r="N76" i="51"/>
  <c r="N64" i="51"/>
  <c r="N349" i="51"/>
  <c r="N78" i="51"/>
  <c r="N227" i="51"/>
  <c r="N225" i="51"/>
  <c r="N253" i="51"/>
  <c r="N254" i="51"/>
  <c r="N165" i="51"/>
  <c r="N82" i="51"/>
  <c r="N83" i="51"/>
  <c r="N84" i="51"/>
  <c r="N85" i="51"/>
  <c r="N86" i="51"/>
  <c r="N87" i="51"/>
  <c r="N88" i="51"/>
  <c r="N297" i="51"/>
  <c r="N298" i="51"/>
  <c r="N221" i="51"/>
  <c r="N231" i="51"/>
  <c r="N232" i="51"/>
  <c r="N98" i="51"/>
  <c r="N37" i="51"/>
  <c r="N99" i="51"/>
  <c r="N100" i="51"/>
  <c r="N101" i="51"/>
  <c r="N79" i="51"/>
  <c r="N56" i="51"/>
  <c r="N233" i="51"/>
  <c r="N234" i="51"/>
  <c r="N235" i="51"/>
  <c r="N236" i="51"/>
  <c r="N237" i="51"/>
  <c r="N342" i="51"/>
  <c r="N91" i="51"/>
  <c r="N343" i="51"/>
  <c r="N344" i="51"/>
  <c r="N345" i="51"/>
  <c r="N346" i="51"/>
  <c r="N347" i="51"/>
  <c r="N350" i="51"/>
  <c r="N176" i="51"/>
  <c r="N351" i="51"/>
  <c r="N352" i="51"/>
  <c r="N353" i="51"/>
  <c r="N354" i="51"/>
  <c r="N355" i="51"/>
  <c r="N356" i="51"/>
  <c r="N357" i="51"/>
  <c r="N358" i="51"/>
  <c r="N359" i="51"/>
  <c r="N360" i="51"/>
  <c r="N361" i="51"/>
  <c r="N46" i="51"/>
  <c r="N133" i="51"/>
  <c r="N127" i="51"/>
  <c r="N45" i="51"/>
  <c r="N118" i="51"/>
  <c r="N119" i="51"/>
  <c r="N120" i="51"/>
  <c r="N247" i="51"/>
  <c r="N248" i="51"/>
  <c r="N249" i="51"/>
  <c r="N57" i="51"/>
  <c r="N70" i="51"/>
  <c r="N117" i="51"/>
  <c r="N251" i="51"/>
  <c r="N229" i="51"/>
  <c r="N255" i="51"/>
  <c r="N256" i="51"/>
  <c r="N257" i="51"/>
  <c r="N258" i="51"/>
  <c r="N259" i="51"/>
  <c r="N260" i="51"/>
  <c r="N261" i="51"/>
  <c r="N262" i="51"/>
  <c r="N263" i="51"/>
  <c r="N264" i="51"/>
  <c r="N265" i="51"/>
  <c r="N266" i="51"/>
  <c r="N267" i="51"/>
  <c r="N268" i="51"/>
  <c r="N269" i="51"/>
  <c r="N270" i="51"/>
  <c r="N271" i="51"/>
  <c r="N272" i="51"/>
  <c r="N273" i="51"/>
  <c r="N274" i="51"/>
  <c r="N275" i="51"/>
  <c r="N131" i="51"/>
  <c r="N276" i="51"/>
  <c r="N277" i="51"/>
  <c r="N278" i="51"/>
  <c r="N174" i="51"/>
  <c r="N90" i="51"/>
  <c r="N279" i="51"/>
  <c r="N41" i="51"/>
  <c r="N49" i="51"/>
  <c r="N166" i="51"/>
  <c r="N167" i="51"/>
  <c r="N168" i="51"/>
  <c r="N169" i="51"/>
  <c r="N121" i="51"/>
  <c r="N122" i="51"/>
  <c r="N170" i="51"/>
  <c r="N171" i="51"/>
  <c r="N280" i="51"/>
  <c r="N281" i="51"/>
  <c r="N282" i="51"/>
  <c r="N283" i="51"/>
  <c r="N284" i="51"/>
  <c r="N285" i="51"/>
  <c r="N286" i="51"/>
  <c r="N299" i="51"/>
  <c r="N300" i="51"/>
  <c r="N301" i="51"/>
  <c r="N302" i="51"/>
  <c r="N185" i="51"/>
  <c r="N303" i="51"/>
  <c r="N304" i="51"/>
  <c r="N305" i="51"/>
  <c r="N198" i="51"/>
  <c r="N306" i="51"/>
  <c r="N307" i="51"/>
  <c r="N308" i="51"/>
  <c r="N142" i="51"/>
  <c r="N199" i="51"/>
  <c r="N309" i="51"/>
  <c r="N310" i="51"/>
  <c r="N186" i="51"/>
  <c r="N311" i="51"/>
  <c r="N312" i="51"/>
  <c r="N313" i="51"/>
  <c r="N314" i="51"/>
  <c r="N315" i="51"/>
  <c r="N316" i="51"/>
  <c r="N317" i="51"/>
  <c r="N318" i="51"/>
  <c r="N319" i="51"/>
  <c r="N320" i="51"/>
  <c r="N175" i="51"/>
  <c r="N200" i="51"/>
  <c r="N321" i="51"/>
  <c r="N322" i="51"/>
  <c r="N323" i="51"/>
  <c r="N324" i="51"/>
  <c r="N325" i="51"/>
  <c r="N326" i="51"/>
  <c r="N134" i="51"/>
  <c r="N327" i="51"/>
  <c r="N328" i="51"/>
  <c r="N329" i="51"/>
  <c r="N135" i="51"/>
  <c r="N330" i="51"/>
  <c r="N89" i="51"/>
  <c r="N332" i="51"/>
  <c r="N333" i="51"/>
  <c r="N334" i="51"/>
  <c r="N335" i="51"/>
  <c r="N336" i="51"/>
  <c r="N337" i="51"/>
  <c r="N338" i="51"/>
  <c r="N339" i="51"/>
  <c r="N150" i="51"/>
  <c r="N143" i="51"/>
  <c r="N151" i="51"/>
  <c r="N147" i="51"/>
  <c r="N158" i="51"/>
  <c r="N145" i="51"/>
  <c r="N139" i="51"/>
  <c r="N140" i="51"/>
  <c r="N161" i="51"/>
  <c r="N148" i="51"/>
  <c r="N159" i="51"/>
  <c r="N153" i="51"/>
  <c r="N155" i="51"/>
  <c r="N152" i="51"/>
  <c r="N146" i="51"/>
  <c r="N157" i="51"/>
  <c r="N144" i="51"/>
  <c r="N138" i="51"/>
  <c r="N141" i="51"/>
  <c r="N162" i="51"/>
  <c r="N149" i="51"/>
  <c r="N160" i="51"/>
  <c r="N154" i="51"/>
  <c r="N156" i="51"/>
  <c r="N94" i="51"/>
  <c r="N74" i="51"/>
  <c r="N92" i="51"/>
  <c r="N60" i="51"/>
  <c r="N93" i="51"/>
  <c r="N29" i="51"/>
  <c r="N95" i="51"/>
  <c r="D90" i="36"/>
  <c r="D92" i="36"/>
  <c r="D94" i="36"/>
  <c r="J90" i="36"/>
  <c r="J92" i="36"/>
  <c r="J94" i="36"/>
  <c r="K90" i="36"/>
  <c r="G90" i="36" s="1"/>
  <c r="K92" i="36"/>
  <c r="G92" i="36" s="1"/>
  <c r="K94" i="36"/>
  <c r="G94" i="36" s="1"/>
  <c r="L90" i="36"/>
  <c r="H90" i="36" s="1"/>
  <c r="L92" i="36"/>
  <c r="H92" i="36" s="1"/>
  <c r="L94" i="36"/>
  <c r="H94" i="36" s="1"/>
  <c r="M90" i="36"/>
  <c r="I90" i="36" s="1"/>
  <c r="M92" i="36"/>
  <c r="I92" i="36" s="1"/>
  <c r="M94" i="36"/>
  <c r="I94" i="36" s="1"/>
  <c r="D89" i="36"/>
  <c r="D91" i="36"/>
  <c r="D93" i="36"/>
  <c r="J89" i="36"/>
  <c r="J91" i="36"/>
  <c r="J93" i="36"/>
  <c r="K89" i="36"/>
  <c r="G89" i="36" s="1"/>
  <c r="K91" i="36"/>
  <c r="G91" i="36" s="1"/>
  <c r="K93" i="36"/>
  <c r="G93" i="36" s="1"/>
  <c r="L89" i="36"/>
  <c r="H89" i="36" s="1"/>
  <c r="L91" i="36"/>
  <c r="H91" i="36" s="1"/>
  <c r="L93" i="36"/>
  <c r="H93" i="36" s="1"/>
  <c r="M89" i="36"/>
  <c r="I89" i="36" s="1"/>
  <c r="M91" i="36"/>
  <c r="I91" i="36" s="1"/>
  <c r="M93" i="36"/>
  <c r="I93" i="36" s="1"/>
  <c r="D88" i="36"/>
  <c r="J88" i="36"/>
  <c r="K88" i="36"/>
  <c r="G88" i="36" s="1"/>
  <c r="L88" i="36"/>
  <c r="H88" i="36" s="1"/>
  <c r="M88" i="36"/>
  <c r="I88" i="36" s="1"/>
  <c r="D87" i="36"/>
  <c r="J87" i="36"/>
  <c r="K87" i="36"/>
  <c r="G87" i="36" s="1"/>
  <c r="L87" i="36"/>
  <c r="H87" i="36" s="1"/>
  <c r="M87" i="36"/>
  <c r="I87" i="36" s="1"/>
  <c r="D86" i="36"/>
  <c r="J86" i="36"/>
  <c r="K86" i="36"/>
  <c r="G86" i="36" s="1"/>
  <c r="L86" i="36"/>
  <c r="H86" i="36" s="1"/>
  <c r="M86" i="36"/>
  <c r="I86" i="36" s="1"/>
  <c r="D85" i="36"/>
  <c r="J85" i="36"/>
  <c r="K85" i="36"/>
  <c r="G85" i="36" s="1"/>
  <c r="L85" i="36"/>
  <c r="H85" i="36" s="1"/>
  <c r="M85" i="36"/>
  <c r="I85" i="36" s="1"/>
  <c r="D51" i="36"/>
  <c r="J51" i="36"/>
  <c r="K51" i="36"/>
  <c r="G51" i="36" s="1"/>
  <c r="L51" i="36"/>
  <c r="H51" i="36" s="1"/>
  <c r="M51" i="36"/>
  <c r="I51" i="36" s="1"/>
  <c r="D50" i="36"/>
  <c r="J50" i="36"/>
  <c r="K50" i="36"/>
  <c r="G50" i="36" s="1"/>
  <c r="L50" i="36"/>
  <c r="H50" i="36" s="1"/>
  <c r="M50" i="36"/>
  <c r="I50" i="36" s="1"/>
  <c r="D42" i="36"/>
  <c r="J42" i="36"/>
  <c r="K42" i="36"/>
  <c r="G42" i="36" s="1"/>
  <c r="L42" i="36"/>
  <c r="H42" i="36" s="1"/>
  <c r="M42" i="36"/>
  <c r="I42" i="36" s="1"/>
  <c r="J21" i="36"/>
  <c r="K21" i="36"/>
  <c r="G21" i="36" s="1"/>
  <c r="L21" i="36"/>
  <c r="H21" i="36" s="1"/>
  <c r="M21" i="36"/>
  <c r="I21" i="36" s="1"/>
  <c r="J8" i="36"/>
  <c r="J12" i="36"/>
  <c r="J9" i="36"/>
  <c r="J10" i="36"/>
  <c r="J13" i="36"/>
  <c r="J14" i="36"/>
  <c r="J16" i="36"/>
  <c r="J17" i="36"/>
  <c r="J18" i="36"/>
  <c r="J19" i="36"/>
  <c r="J15" i="36"/>
  <c r="J22" i="36"/>
  <c r="J11" i="36"/>
  <c r="J24" i="36"/>
  <c r="J25" i="36"/>
  <c r="J26" i="36"/>
  <c r="J20" i="36"/>
  <c r="J27" i="36"/>
  <c r="J28" i="36"/>
  <c r="J29" i="36"/>
  <c r="J23" i="36"/>
  <c r="J32" i="36"/>
  <c r="J31" i="36"/>
  <c r="J30" i="36"/>
  <c r="J36" i="36"/>
  <c r="J34" i="36"/>
  <c r="J35" i="36"/>
  <c r="J38" i="36"/>
  <c r="J37" i="36"/>
  <c r="J39" i="36"/>
  <c r="J40" i="36"/>
  <c r="J44" i="36"/>
  <c r="J45" i="36"/>
  <c r="J46" i="36"/>
  <c r="J47" i="36"/>
  <c r="J48" i="36"/>
  <c r="J49" i="36"/>
  <c r="J54" i="36"/>
  <c r="J33" i="36"/>
  <c r="J55" i="36"/>
  <c r="J56" i="36"/>
  <c r="J43" i="36"/>
  <c r="J58" i="36"/>
  <c r="J59" i="36"/>
  <c r="J60" i="36"/>
  <c r="J64" i="36"/>
  <c r="J61" i="36"/>
  <c r="J62" i="36"/>
  <c r="J63" i="36"/>
  <c r="J67" i="36"/>
  <c r="J41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53" i="36"/>
  <c r="J84" i="36"/>
  <c r="J100" i="36"/>
  <c r="J97" i="36"/>
  <c r="J98" i="36"/>
  <c r="J99" i="36"/>
  <c r="J57" i="36"/>
  <c r="J95" i="36"/>
  <c r="J96" i="36"/>
  <c r="J101" i="36"/>
  <c r="J102" i="36"/>
  <c r="J103" i="36"/>
  <c r="J104" i="36"/>
  <c r="J105" i="36"/>
  <c r="J106" i="36"/>
  <c r="J124" i="36"/>
  <c r="J125" i="36"/>
  <c r="J52" i="36"/>
  <c r="J126" i="36"/>
  <c r="J107" i="36"/>
  <c r="J108" i="36"/>
  <c r="J127" i="36"/>
  <c r="J109" i="36"/>
  <c r="J110" i="36"/>
  <c r="J128" i="36"/>
  <c r="J129" i="36"/>
  <c r="J130" i="36"/>
  <c r="J131" i="36"/>
  <c r="J111" i="36"/>
  <c r="J65" i="36"/>
  <c r="J132" i="36"/>
  <c r="J112" i="36"/>
  <c r="J113" i="36"/>
  <c r="J133" i="36"/>
  <c r="J134" i="36"/>
  <c r="J114" i="36"/>
  <c r="J115" i="36"/>
  <c r="J135" i="36"/>
  <c r="J136" i="36"/>
  <c r="J116" i="36"/>
  <c r="J117" i="36"/>
  <c r="J137" i="36"/>
  <c r="J138" i="36"/>
  <c r="J139" i="36"/>
  <c r="J118" i="36"/>
  <c r="J119" i="36"/>
  <c r="J140" i="36"/>
  <c r="J141" i="36"/>
  <c r="J146" i="36"/>
  <c r="J147" i="36"/>
  <c r="J120" i="36"/>
  <c r="J142" i="36"/>
  <c r="J143" i="36"/>
  <c r="J148" i="36"/>
  <c r="J156" i="36"/>
  <c r="J149" i="36"/>
  <c r="J157" i="36"/>
  <c r="J121" i="36"/>
  <c r="J122" i="36"/>
  <c r="J158" i="36"/>
  <c r="J150" i="36"/>
  <c r="J159" i="36"/>
  <c r="J151" i="36"/>
  <c r="J123" i="36"/>
  <c r="J152" i="36"/>
  <c r="J153" i="36"/>
  <c r="J160" i="36"/>
  <c r="J144" i="36"/>
  <c r="J145" i="36"/>
  <c r="J66" i="36"/>
  <c r="J161" i="36"/>
  <c r="J166" i="36"/>
  <c r="J162" i="36"/>
  <c r="J163" i="36"/>
  <c r="J167" i="36"/>
  <c r="J168" i="36"/>
  <c r="J164" i="36"/>
  <c r="J165" i="36"/>
  <c r="J169" i="36"/>
  <c r="J170" i="36"/>
  <c r="J154" i="36"/>
  <c r="J155" i="36"/>
  <c r="J171" i="36"/>
  <c r="J172" i="36"/>
  <c r="J7" i="36"/>
  <c r="P7" i="52"/>
  <c r="P8" i="52"/>
  <c r="P15" i="52"/>
  <c r="P16" i="52"/>
  <c r="P11" i="52"/>
  <c r="P9" i="52"/>
  <c r="P12" i="52"/>
  <c r="P19" i="52"/>
  <c r="P13" i="52"/>
  <c r="P14" i="52"/>
  <c r="P10" i="52"/>
  <c r="P40" i="52"/>
  <c r="P17" i="52"/>
  <c r="P81" i="52"/>
  <c r="P82" i="52"/>
  <c r="P34" i="52"/>
  <c r="P107" i="52"/>
  <c r="P20" i="52"/>
  <c r="P21" i="52"/>
  <c r="P18" i="52"/>
  <c r="P25" i="52"/>
  <c r="P39" i="52"/>
  <c r="P35" i="52"/>
  <c r="P55" i="52"/>
  <c r="P36" i="52"/>
  <c r="P31" i="52"/>
  <c r="P29" i="52"/>
  <c r="P30" i="52"/>
  <c r="P24" i="52"/>
  <c r="P54" i="52"/>
  <c r="P62" i="52"/>
  <c r="P37" i="52"/>
  <c r="P26" i="52"/>
  <c r="P85" i="52"/>
  <c r="P23" i="52"/>
  <c r="P84" i="52"/>
  <c r="P94" i="52"/>
  <c r="P48" i="52"/>
  <c r="P51" i="52"/>
  <c r="P89" i="52"/>
  <c r="P56" i="52"/>
  <c r="P33" i="52"/>
  <c r="P46" i="52"/>
  <c r="P86" i="52"/>
  <c r="P43" i="52"/>
  <c r="P103" i="52"/>
  <c r="P87" i="52"/>
  <c r="P88" i="52"/>
  <c r="P42" i="52"/>
  <c r="P41" i="52"/>
  <c r="P60" i="52"/>
  <c r="P91" i="52"/>
  <c r="P90" i="52"/>
  <c r="P93" i="52"/>
  <c r="P64" i="52"/>
  <c r="P63" i="52"/>
  <c r="P50" i="52"/>
  <c r="P95" i="52"/>
  <c r="P98" i="52"/>
  <c r="P96" i="52"/>
  <c r="P99" i="52"/>
  <c r="P97" i="52"/>
  <c r="P101" i="52"/>
  <c r="P100" i="52"/>
  <c r="P102" i="52"/>
  <c r="P67" i="52"/>
  <c r="P68" i="52"/>
  <c r="P22" i="52"/>
  <c r="P28" i="52"/>
  <c r="P47" i="52"/>
  <c r="P70" i="52"/>
  <c r="P69" i="52"/>
  <c r="P38" i="52"/>
  <c r="P57" i="52"/>
  <c r="P104" i="52"/>
  <c r="P106" i="52"/>
  <c r="P52" i="52"/>
  <c r="P105" i="52"/>
  <c r="P58" i="52"/>
  <c r="P27" i="52"/>
  <c r="P49" i="52"/>
  <c r="P65" i="52"/>
  <c r="F77" i="51" l="1"/>
  <c r="F290" i="51"/>
  <c r="F294" i="51"/>
  <c r="F239" i="51"/>
  <c r="F241" i="51"/>
  <c r="F289" i="51"/>
  <c r="F292" i="51"/>
  <c r="F243" i="51"/>
  <c r="F295" i="51"/>
  <c r="F293" i="51"/>
  <c r="F287" i="51"/>
  <c r="F288" i="51"/>
  <c r="F242" i="51"/>
  <c r="F296" i="51"/>
  <c r="F291" i="51"/>
  <c r="F240" i="51"/>
  <c r="F87" i="36"/>
  <c r="F89" i="36"/>
  <c r="F42" i="36"/>
  <c r="F91" i="36"/>
  <c r="F90" i="36"/>
  <c r="F51" i="36"/>
  <c r="F21" i="36"/>
  <c r="F86" i="36"/>
  <c r="F50" i="36"/>
  <c r="F88" i="36"/>
  <c r="F94" i="36"/>
  <c r="F85" i="36"/>
  <c r="F93" i="36"/>
  <c r="F92" i="36"/>
  <c r="N8" i="51"/>
  <c r="L58" i="52"/>
  <c r="M58" i="52"/>
  <c r="N58" i="52"/>
  <c r="O58" i="52"/>
  <c r="L27" i="52"/>
  <c r="M27" i="52"/>
  <c r="N27" i="52"/>
  <c r="O27" i="52"/>
  <c r="L49" i="52"/>
  <c r="M49" i="52"/>
  <c r="N49" i="52"/>
  <c r="O49" i="52"/>
  <c r="L65" i="52"/>
  <c r="M65" i="52"/>
  <c r="N65" i="52"/>
  <c r="O65" i="52"/>
  <c r="M144" i="51"/>
  <c r="M138" i="51"/>
  <c r="M141" i="51"/>
  <c r="M162" i="51"/>
  <c r="M149" i="51"/>
  <c r="M160" i="51"/>
  <c r="M154" i="51"/>
  <c r="M156" i="51"/>
  <c r="M94" i="51"/>
  <c r="M74" i="51"/>
  <c r="M92" i="51"/>
  <c r="M60" i="51"/>
  <c r="M93" i="51"/>
  <c r="M29" i="51"/>
  <c r="M150" i="51"/>
  <c r="M143" i="51"/>
  <c r="M151" i="51"/>
  <c r="M147" i="51"/>
  <c r="M158" i="51"/>
  <c r="M145" i="51"/>
  <c r="M139" i="51"/>
  <c r="M140" i="51"/>
  <c r="M161" i="51"/>
  <c r="M148" i="51"/>
  <c r="M159" i="51"/>
  <c r="M153" i="51"/>
  <c r="M155" i="51"/>
  <c r="M152" i="51"/>
  <c r="M146" i="51"/>
  <c r="M157" i="51"/>
  <c r="M95" i="51"/>
  <c r="G94" i="51" l="1"/>
  <c r="H94" i="51"/>
  <c r="I94" i="51"/>
  <c r="H144" i="51"/>
  <c r="I144" i="51"/>
  <c r="G144" i="51"/>
  <c r="G143" i="51"/>
  <c r="H143" i="51"/>
  <c r="I143" i="51"/>
  <c r="G156" i="51"/>
  <c r="H156" i="51"/>
  <c r="I156" i="51"/>
  <c r="H161" i="51"/>
  <c r="I161" i="51"/>
  <c r="G161" i="51"/>
  <c r="G150" i="51"/>
  <c r="H150" i="51"/>
  <c r="I150" i="51"/>
  <c r="G154" i="51"/>
  <c r="H154" i="51"/>
  <c r="I154" i="51"/>
  <c r="G157" i="51"/>
  <c r="H157" i="51"/>
  <c r="I157" i="51"/>
  <c r="G140" i="51"/>
  <c r="H140" i="51"/>
  <c r="I140" i="51"/>
  <c r="G29" i="51"/>
  <c r="H29" i="51"/>
  <c r="I29" i="51"/>
  <c r="G160" i="51"/>
  <c r="H160" i="51"/>
  <c r="I160" i="51"/>
  <c r="H95" i="51"/>
  <c r="I95" i="51"/>
  <c r="G95" i="51"/>
  <c r="I149" i="51"/>
  <c r="H149" i="51"/>
  <c r="G149" i="51"/>
  <c r="G151" i="51"/>
  <c r="H151" i="51"/>
  <c r="I151" i="51"/>
  <c r="G146" i="51"/>
  <c r="H146" i="51"/>
  <c r="I146" i="51"/>
  <c r="H152" i="51"/>
  <c r="I152" i="51"/>
  <c r="G152" i="51"/>
  <c r="G145" i="51"/>
  <c r="H145" i="51"/>
  <c r="I145" i="51"/>
  <c r="G60" i="51"/>
  <c r="H60" i="51"/>
  <c r="I60" i="51"/>
  <c r="G162" i="51"/>
  <c r="H162" i="51"/>
  <c r="I162" i="51"/>
  <c r="G159" i="51"/>
  <c r="H159" i="51"/>
  <c r="I159" i="51"/>
  <c r="H139" i="51"/>
  <c r="I139" i="51"/>
  <c r="G139" i="51"/>
  <c r="G155" i="51"/>
  <c r="H155" i="51"/>
  <c r="I155" i="51"/>
  <c r="I158" i="51"/>
  <c r="G158" i="51"/>
  <c r="H158" i="51"/>
  <c r="G92" i="51"/>
  <c r="H92" i="51"/>
  <c r="I92" i="51"/>
  <c r="G141" i="51"/>
  <c r="H141" i="51"/>
  <c r="I141" i="51"/>
  <c r="G148" i="51"/>
  <c r="H148" i="51"/>
  <c r="I148" i="51"/>
  <c r="H93" i="51"/>
  <c r="I93" i="51"/>
  <c r="G93" i="51"/>
  <c r="H153" i="51"/>
  <c r="I153" i="51"/>
  <c r="G153" i="51"/>
  <c r="G147" i="51"/>
  <c r="H147" i="51"/>
  <c r="I147" i="51"/>
  <c r="I74" i="51"/>
  <c r="G74" i="51"/>
  <c r="H74" i="51"/>
  <c r="G138" i="51"/>
  <c r="H138" i="51"/>
  <c r="I138" i="51"/>
  <c r="K144" i="51"/>
  <c r="K138" i="51"/>
  <c r="K162" i="51"/>
  <c r="K141" i="51"/>
  <c r="K149" i="51"/>
  <c r="K160" i="51"/>
  <c r="K154" i="51"/>
  <c r="K94" i="51"/>
  <c r="K156" i="51"/>
  <c r="K92" i="51"/>
  <c r="K93" i="51"/>
  <c r="K74" i="51"/>
  <c r="K60" i="51"/>
  <c r="K29" i="51"/>
  <c r="K150" i="51"/>
  <c r="K143" i="51"/>
  <c r="K151" i="51"/>
  <c r="K147" i="51"/>
  <c r="K158" i="51"/>
  <c r="K145" i="51"/>
  <c r="K139" i="51"/>
  <c r="K140" i="51"/>
  <c r="K161" i="51"/>
  <c r="K148" i="51"/>
  <c r="K153" i="51"/>
  <c r="K159" i="51"/>
  <c r="K155" i="51"/>
  <c r="K152" i="51"/>
  <c r="K146" i="51"/>
  <c r="K157" i="51"/>
  <c r="K95" i="51"/>
  <c r="F155" i="51" l="1"/>
  <c r="F138" i="51"/>
  <c r="F159" i="51"/>
  <c r="F150" i="51"/>
  <c r="F144" i="51"/>
  <c r="F154" i="51"/>
  <c r="F162" i="51"/>
  <c r="F141" i="51"/>
  <c r="F148" i="51"/>
  <c r="F145" i="51"/>
  <c r="F147" i="51"/>
  <c r="F143" i="51"/>
  <c r="F93" i="51"/>
  <c r="F74" i="51"/>
  <c r="F29" i="51"/>
  <c r="F95" i="51"/>
  <c r="F146" i="51"/>
  <c r="F139" i="51"/>
  <c r="F158" i="51"/>
  <c r="F156" i="51"/>
  <c r="F161" i="51"/>
  <c r="F152" i="51"/>
  <c r="F151" i="51"/>
  <c r="F94" i="51"/>
  <c r="F60" i="51"/>
  <c r="F160" i="51"/>
  <c r="F153" i="51"/>
  <c r="F157" i="51"/>
  <c r="F140" i="51"/>
  <c r="E168" i="36"/>
  <c r="F92" i="51"/>
  <c r="F149" i="51"/>
  <c r="W47" i="36"/>
  <c r="V47" i="36"/>
  <c r="BA46" i="52"/>
  <c r="AZ46" i="52"/>
  <c r="AO48" i="51"/>
  <c r="D44" i="53"/>
  <c r="O7" i="52"/>
  <c r="O8" i="52"/>
  <c r="O15" i="52"/>
  <c r="O16" i="52"/>
  <c r="O11" i="52"/>
  <c r="O9" i="52"/>
  <c r="O12" i="52"/>
  <c r="O19" i="52"/>
  <c r="O13" i="52"/>
  <c r="O14" i="52"/>
  <c r="O10" i="52"/>
  <c r="O40" i="52"/>
  <c r="O17" i="52"/>
  <c r="O81" i="52"/>
  <c r="O82" i="52"/>
  <c r="O34" i="52"/>
  <c r="O107" i="52"/>
  <c r="O20" i="52"/>
  <c r="O21" i="52"/>
  <c r="O18" i="52"/>
  <c r="O25" i="52"/>
  <c r="O39" i="52"/>
  <c r="O35" i="52"/>
  <c r="O55" i="52"/>
  <c r="O36" i="52"/>
  <c r="O31" i="52"/>
  <c r="O29" i="52"/>
  <c r="O30" i="52"/>
  <c r="O24" i="52"/>
  <c r="O54" i="52"/>
  <c r="O62" i="52"/>
  <c r="O37" i="52"/>
  <c r="O85" i="52"/>
  <c r="O23" i="52"/>
  <c r="O84" i="52"/>
  <c r="O94" i="52"/>
  <c r="O51" i="52"/>
  <c r="O89" i="52"/>
  <c r="O56" i="52"/>
  <c r="O33" i="52"/>
  <c r="O46" i="52"/>
  <c r="O26" i="52"/>
  <c r="O86" i="52"/>
  <c r="O43" i="52"/>
  <c r="O103" i="52"/>
  <c r="O87" i="52"/>
  <c r="O88" i="52"/>
  <c r="O42" i="52"/>
  <c r="O41" i="52"/>
  <c r="O60" i="52"/>
  <c r="O91" i="52"/>
  <c r="O90" i="52"/>
  <c r="O93" i="52"/>
  <c r="O64" i="52"/>
  <c r="O63" i="52"/>
  <c r="O50" i="52"/>
  <c r="O95" i="52"/>
  <c r="O98" i="52"/>
  <c r="O96" i="52"/>
  <c r="O99" i="52"/>
  <c r="O97" i="52"/>
  <c r="O101" i="52"/>
  <c r="O100" i="52"/>
  <c r="O102" i="52"/>
  <c r="O67" i="52"/>
  <c r="O68" i="52"/>
  <c r="O22" i="52"/>
  <c r="O28" i="52"/>
  <c r="O47" i="52"/>
  <c r="O70" i="52"/>
  <c r="O69" i="52"/>
  <c r="O38" i="52"/>
  <c r="O57" i="52"/>
  <c r="O104" i="52"/>
  <c r="O106" i="52"/>
  <c r="O52" i="52"/>
  <c r="O48" i="52"/>
  <c r="O105" i="52"/>
  <c r="L48" i="52"/>
  <c r="M48" i="52"/>
  <c r="N48" i="52"/>
  <c r="M171" i="51"/>
  <c r="M122" i="51"/>
  <c r="M170" i="51"/>
  <c r="M169" i="51"/>
  <c r="M121" i="51"/>
  <c r="M166" i="51"/>
  <c r="M167" i="51"/>
  <c r="M168" i="51"/>
  <c r="M49" i="51"/>
  <c r="M56" i="51"/>
  <c r="M79" i="51"/>
  <c r="M99" i="51"/>
  <c r="M100" i="51"/>
  <c r="M37" i="51"/>
  <c r="M98" i="51"/>
  <c r="M101" i="51"/>
  <c r="M8" i="51"/>
  <c r="M7" i="51"/>
  <c r="M11" i="51"/>
  <c r="M13" i="51"/>
  <c r="M9" i="51"/>
  <c r="M10" i="51"/>
  <c r="M15" i="51"/>
  <c r="M20" i="51"/>
  <c r="M22" i="51"/>
  <c r="M27" i="51"/>
  <c r="M35" i="51"/>
  <c r="M30" i="51"/>
  <c r="M68" i="51"/>
  <c r="M19" i="51"/>
  <c r="M36" i="51"/>
  <c r="M50" i="51"/>
  <c r="M32" i="51"/>
  <c r="M33" i="51"/>
  <c r="M31" i="51"/>
  <c r="M43" i="51"/>
  <c r="M24" i="51"/>
  <c r="M58" i="51"/>
  <c r="M28" i="51"/>
  <c r="M211" i="51"/>
  <c r="M212" i="51"/>
  <c r="M25" i="51"/>
  <c r="M23" i="51"/>
  <c r="M213" i="51"/>
  <c r="M214" i="51"/>
  <c r="M48" i="51"/>
  <c r="M18" i="51"/>
  <c r="M132" i="51"/>
  <c r="M16" i="51"/>
  <c r="M17" i="51"/>
  <c r="M47" i="51"/>
  <c r="M26" i="51"/>
  <c r="M39" i="51"/>
  <c r="M12" i="51"/>
  <c r="M34" i="51"/>
  <c r="M103" i="51"/>
  <c r="M228" i="51"/>
  <c r="M52" i="51"/>
  <c r="M42" i="51"/>
  <c r="M129" i="51"/>
  <c r="M130" i="51"/>
  <c r="M230" i="51"/>
  <c r="M14" i="51"/>
  <c r="M21" i="51"/>
  <c r="M348" i="51"/>
  <c r="M53" i="51"/>
  <c r="M73" i="51"/>
  <c r="M102" i="51"/>
  <c r="M97" i="51"/>
  <c r="M69" i="51"/>
  <c r="M44" i="51"/>
  <c r="M40" i="51"/>
  <c r="M80" i="51"/>
  <c r="M215" i="51"/>
  <c r="M216" i="51"/>
  <c r="M246" i="51"/>
  <c r="M55" i="51"/>
  <c r="M62" i="51"/>
  <c r="M59" i="51"/>
  <c r="M63" i="51"/>
  <c r="M245" i="51"/>
  <c r="M217" i="51"/>
  <c r="M218" i="51"/>
  <c r="M71" i="51"/>
  <c r="M172" i="51"/>
  <c r="M244" i="51"/>
  <c r="M252" i="51"/>
  <c r="M81" i="51"/>
  <c r="M123" i="51"/>
  <c r="M124" i="51"/>
  <c r="M331" i="51"/>
  <c r="M219" i="51"/>
  <c r="M220" i="51"/>
  <c r="M222" i="51"/>
  <c r="M340" i="51"/>
  <c r="M341" i="51"/>
  <c r="M54" i="51"/>
  <c r="M51" i="51"/>
  <c r="M163" i="51"/>
  <c r="M223" i="51"/>
  <c r="M75" i="51"/>
  <c r="M224" i="51"/>
  <c r="M72" i="51"/>
  <c r="M238" i="51"/>
  <c r="M250" i="51"/>
  <c r="M173" i="51"/>
  <c r="M226" i="51"/>
  <c r="M76" i="51"/>
  <c r="M349" i="51"/>
  <c r="M78" i="51"/>
  <c r="M227" i="51"/>
  <c r="M225" i="51"/>
  <c r="M164" i="51"/>
  <c r="M253" i="51"/>
  <c r="M254" i="51"/>
  <c r="M82" i="51"/>
  <c r="M88" i="51"/>
  <c r="M84" i="51"/>
  <c r="M86" i="51"/>
  <c r="M83" i="51"/>
  <c r="M87" i="51"/>
  <c r="M85" i="51"/>
  <c r="M297" i="51"/>
  <c r="M298" i="51"/>
  <c r="M221" i="51"/>
  <c r="M231" i="51"/>
  <c r="M232" i="51"/>
  <c r="M233" i="51"/>
  <c r="M234" i="51"/>
  <c r="M235" i="51"/>
  <c r="M236" i="51"/>
  <c r="M237" i="51"/>
  <c r="M165" i="51"/>
  <c r="M342" i="51"/>
  <c r="M91" i="51"/>
  <c r="M343" i="51"/>
  <c r="M344" i="51"/>
  <c r="M345" i="51"/>
  <c r="M346" i="51"/>
  <c r="M347" i="51"/>
  <c r="M350" i="51"/>
  <c r="M176" i="51"/>
  <c r="M351" i="51"/>
  <c r="M352" i="51"/>
  <c r="M353" i="51"/>
  <c r="M354" i="51"/>
  <c r="M355" i="51"/>
  <c r="M356" i="51"/>
  <c r="M357" i="51"/>
  <c r="M358" i="51"/>
  <c r="M359" i="51"/>
  <c r="M360" i="51"/>
  <c r="M361" i="51"/>
  <c r="M66" i="51"/>
  <c r="M46" i="51"/>
  <c r="M133" i="51"/>
  <c r="M127" i="51"/>
  <c r="M67" i="51"/>
  <c r="M247" i="51"/>
  <c r="M248" i="51"/>
  <c r="M249" i="51"/>
  <c r="M57" i="51"/>
  <c r="M117" i="51"/>
  <c r="M251" i="51"/>
  <c r="M64" i="51"/>
  <c r="M229" i="51"/>
  <c r="M255" i="51"/>
  <c r="M256" i="51"/>
  <c r="M257" i="51"/>
  <c r="M258" i="51"/>
  <c r="M259" i="51"/>
  <c r="M260" i="51"/>
  <c r="M261" i="51"/>
  <c r="M262" i="51"/>
  <c r="M263" i="51"/>
  <c r="M264" i="51"/>
  <c r="M265" i="51"/>
  <c r="M266" i="51"/>
  <c r="M267" i="51"/>
  <c r="M268" i="51"/>
  <c r="M269" i="51"/>
  <c r="M270" i="51"/>
  <c r="M271" i="51"/>
  <c r="M272" i="51"/>
  <c r="M273" i="51"/>
  <c r="M45" i="51"/>
  <c r="M118" i="51"/>
  <c r="M119" i="51"/>
  <c r="M120" i="51"/>
  <c r="M274" i="51"/>
  <c r="M275" i="51"/>
  <c r="M131" i="51"/>
  <c r="M276" i="51"/>
  <c r="M277" i="51"/>
  <c r="M278" i="51"/>
  <c r="M174" i="51"/>
  <c r="M90" i="51"/>
  <c r="M279" i="51"/>
  <c r="M41" i="51"/>
  <c r="M280" i="51"/>
  <c r="M281" i="51"/>
  <c r="M282" i="51"/>
  <c r="M283" i="51"/>
  <c r="M284" i="51"/>
  <c r="M285" i="51"/>
  <c r="M286" i="51"/>
  <c r="M299" i="51"/>
  <c r="M300" i="51"/>
  <c r="M301" i="51"/>
  <c r="M302" i="51"/>
  <c r="M70" i="51"/>
  <c r="M185" i="51"/>
  <c r="M303" i="51"/>
  <c r="M304" i="51"/>
  <c r="M305" i="51"/>
  <c r="M198" i="51"/>
  <c r="M306" i="51"/>
  <c r="M307" i="51"/>
  <c r="M308" i="51"/>
  <c r="M142" i="51"/>
  <c r="M199" i="51"/>
  <c r="M309" i="51"/>
  <c r="M310" i="51"/>
  <c r="M186" i="51"/>
  <c r="M311" i="51"/>
  <c r="M312" i="51"/>
  <c r="M313" i="51"/>
  <c r="M314" i="51"/>
  <c r="M315" i="51"/>
  <c r="M316" i="51"/>
  <c r="M317" i="51"/>
  <c r="M318" i="51"/>
  <c r="M319" i="51"/>
  <c r="M320" i="51"/>
  <c r="M175" i="51"/>
  <c r="M200" i="51"/>
  <c r="M321" i="51"/>
  <c r="M322" i="51"/>
  <c r="M323" i="51"/>
  <c r="M324" i="51"/>
  <c r="M325" i="51"/>
  <c r="M326" i="51"/>
  <c r="M134" i="51"/>
  <c r="M327" i="51"/>
  <c r="M328" i="51"/>
  <c r="M329" i="51"/>
  <c r="M135" i="51"/>
  <c r="M330" i="51"/>
  <c r="M89" i="51"/>
  <c r="M332" i="51"/>
  <c r="M333" i="51"/>
  <c r="M334" i="51"/>
  <c r="M335" i="51"/>
  <c r="M336" i="51"/>
  <c r="M337" i="51"/>
  <c r="M338" i="51"/>
  <c r="M339" i="51"/>
  <c r="AD5" i="52"/>
  <c r="N8" i="52"/>
  <c r="N15" i="52"/>
  <c r="N9" i="52"/>
  <c r="N12" i="52"/>
  <c r="N11" i="52"/>
  <c r="N19" i="52"/>
  <c r="N13" i="52"/>
  <c r="N14" i="52"/>
  <c r="N18" i="52"/>
  <c r="N25" i="52"/>
  <c r="N29" i="52"/>
  <c r="N30" i="52"/>
  <c r="N31" i="52"/>
  <c r="N41" i="52"/>
  <c r="N62" i="52"/>
  <c r="N37" i="52"/>
  <c r="N46" i="52"/>
  <c r="N23" i="52"/>
  <c r="N67" i="52"/>
  <c r="N26" i="52"/>
  <c r="N68" i="52"/>
  <c r="N22" i="52"/>
  <c r="N28" i="52"/>
  <c r="N39" i="52"/>
  <c r="N47" i="52"/>
  <c r="N70" i="52"/>
  <c r="N69" i="52"/>
  <c r="N17" i="52"/>
  <c r="N38" i="52"/>
  <c r="N56" i="52"/>
  <c r="N57" i="52"/>
  <c r="N7" i="52"/>
  <c r="N16" i="52"/>
  <c r="N10" i="52"/>
  <c r="N40" i="52"/>
  <c r="N81" i="52"/>
  <c r="N82" i="52"/>
  <c r="N34" i="52"/>
  <c r="N107" i="52"/>
  <c r="N20" i="52"/>
  <c r="N21" i="52"/>
  <c r="N35" i="52"/>
  <c r="N55" i="52"/>
  <c r="N36" i="52"/>
  <c r="N24" i="52"/>
  <c r="N54" i="52"/>
  <c r="N85" i="52"/>
  <c r="N84" i="52"/>
  <c r="N94" i="52"/>
  <c r="N51" i="52"/>
  <c r="N89" i="52"/>
  <c r="N33" i="52"/>
  <c r="N86" i="52"/>
  <c r="N43" i="52"/>
  <c r="N103" i="52"/>
  <c r="N87" i="52"/>
  <c r="N88" i="52"/>
  <c r="N42" i="52"/>
  <c r="N60" i="52"/>
  <c r="N91" i="52"/>
  <c r="N90" i="52"/>
  <c r="N93" i="52"/>
  <c r="N64" i="52"/>
  <c r="N63" i="52"/>
  <c r="N50" i="52"/>
  <c r="N95" i="52"/>
  <c r="N98" i="52"/>
  <c r="N96" i="52"/>
  <c r="N99" i="52"/>
  <c r="N97" i="52"/>
  <c r="N101" i="52"/>
  <c r="N100" i="52"/>
  <c r="N102" i="52"/>
  <c r="N104" i="52"/>
  <c r="N106" i="52"/>
  <c r="N52" i="52"/>
  <c r="N105" i="52"/>
  <c r="L57" i="52"/>
  <c r="M57" i="52"/>
  <c r="L38" i="52"/>
  <c r="M38" i="52"/>
  <c r="L70" i="52"/>
  <c r="M70" i="52"/>
  <c r="L69" i="52"/>
  <c r="M69" i="52"/>
  <c r="L47" i="52"/>
  <c r="M47" i="52"/>
  <c r="L28" i="52"/>
  <c r="M28" i="52"/>
  <c r="L22" i="52"/>
  <c r="M22" i="52"/>
  <c r="L68" i="52"/>
  <c r="M68" i="52"/>
  <c r="L67" i="52"/>
  <c r="M67" i="52"/>
  <c r="L41" i="52"/>
  <c r="M41" i="52"/>
  <c r="M8" i="52"/>
  <c r="M15" i="52"/>
  <c r="M16" i="52"/>
  <c r="M9" i="52"/>
  <c r="M12" i="52"/>
  <c r="M11" i="52"/>
  <c r="M19" i="52"/>
  <c r="M13" i="52"/>
  <c r="M14" i="52"/>
  <c r="M10" i="52"/>
  <c r="M40" i="52"/>
  <c r="M81" i="52"/>
  <c r="M82" i="52"/>
  <c r="M107" i="52"/>
  <c r="M34" i="52"/>
  <c r="M18" i="52"/>
  <c r="M25" i="52"/>
  <c r="M39" i="52"/>
  <c r="M35" i="52"/>
  <c r="M55" i="52"/>
  <c r="M36" i="52"/>
  <c r="M17" i="52"/>
  <c r="M29" i="52"/>
  <c r="M30" i="52"/>
  <c r="M31" i="52"/>
  <c r="M24" i="52"/>
  <c r="M54" i="52"/>
  <c r="M62" i="52"/>
  <c r="M85" i="52"/>
  <c r="M84" i="52"/>
  <c r="M94" i="52"/>
  <c r="M89" i="52"/>
  <c r="M33" i="52"/>
  <c r="M23" i="52"/>
  <c r="M86" i="52"/>
  <c r="M43" i="52"/>
  <c r="M103" i="52"/>
  <c r="M87" i="52"/>
  <c r="M88" i="52"/>
  <c r="M42" i="52"/>
  <c r="M91" i="52"/>
  <c r="M90" i="52"/>
  <c r="M93" i="52"/>
  <c r="M64" i="52"/>
  <c r="M63" i="52"/>
  <c r="M50" i="52"/>
  <c r="M95" i="52"/>
  <c r="M98" i="52"/>
  <c r="M96" i="52"/>
  <c r="M99" i="52"/>
  <c r="M97" i="52"/>
  <c r="M101" i="52"/>
  <c r="M100" i="52"/>
  <c r="M102" i="52"/>
  <c r="M56" i="52"/>
  <c r="M51" i="52"/>
  <c r="M26" i="52"/>
  <c r="M46" i="52"/>
  <c r="M37" i="52"/>
  <c r="M104" i="52"/>
  <c r="M106" i="52"/>
  <c r="M52" i="52"/>
  <c r="M105" i="52"/>
  <c r="M20" i="52"/>
  <c r="M21" i="52"/>
  <c r="M60" i="52"/>
  <c r="M7" i="52"/>
  <c r="I310" i="51" l="1"/>
  <c r="H310" i="51"/>
  <c r="G310" i="51"/>
  <c r="I275" i="51"/>
  <c r="G275" i="51"/>
  <c r="H275" i="51"/>
  <c r="G359" i="51"/>
  <c r="H359" i="51"/>
  <c r="I359" i="51"/>
  <c r="G72" i="51"/>
  <c r="H72" i="51"/>
  <c r="I72" i="51"/>
  <c r="G34" i="51"/>
  <c r="H34" i="51"/>
  <c r="I34" i="51"/>
  <c r="G167" i="51"/>
  <c r="H167" i="51"/>
  <c r="I167" i="51"/>
  <c r="I309" i="51"/>
  <c r="H309" i="51"/>
  <c r="G309" i="51"/>
  <c r="I262" i="51"/>
  <c r="G262" i="51"/>
  <c r="H262" i="51"/>
  <c r="I231" i="51"/>
  <c r="G231" i="51"/>
  <c r="H231" i="51"/>
  <c r="G62" i="51"/>
  <c r="H62" i="51"/>
  <c r="I62" i="51"/>
  <c r="G200" i="51"/>
  <c r="H200" i="51"/>
  <c r="I200" i="51"/>
  <c r="G174" i="51"/>
  <c r="I174" i="51"/>
  <c r="H174" i="51"/>
  <c r="I133" i="51"/>
  <c r="G133" i="51"/>
  <c r="H133" i="51"/>
  <c r="G76" i="51"/>
  <c r="H76" i="51"/>
  <c r="I76" i="51"/>
  <c r="I129" i="51"/>
  <c r="G129" i="51"/>
  <c r="H129" i="51"/>
  <c r="G339" i="51"/>
  <c r="I339" i="51"/>
  <c r="H339" i="51"/>
  <c r="G89" i="51"/>
  <c r="H89" i="51"/>
  <c r="I89" i="51"/>
  <c r="G325" i="51"/>
  <c r="H325" i="51"/>
  <c r="I325" i="51"/>
  <c r="G319" i="51"/>
  <c r="H319" i="51"/>
  <c r="I319" i="51"/>
  <c r="H311" i="51"/>
  <c r="I311" i="51"/>
  <c r="G311" i="51"/>
  <c r="H306" i="51"/>
  <c r="G306" i="51"/>
  <c r="I306" i="51"/>
  <c r="H301" i="51"/>
  <c r="I301" i="51"/>
  <c r="G301" i="51"/>
  <c r="I281" i="51"/>
  <c r="H281" i="51"/>
  <c r="G281" i="51"/>
  <c r="G276" i="51"/>
  <c r="I276" i="51"/>
  <c r="H276" i="51"/>
  <c r="G273" i="51"/>
  <c r="I273" i="51"/>
  <c r="H273" i="51"/>
  <c r="I265" i="51"/>
  <c r="H265" i="51"/>
  <c r="G265" i="51"/>
  <c r="G257" i="51"/>
  <c r="H257" i="51"/>
  <c r="I257" i="51"/>
  <c r="H249" i="51"/>
  <c r="G249" i="51"/>
  <c r="I249" i="51"/>
  <c r="H361" i="51"/>
  <c r="G361" i="51"/>
  <c r="I361" i="51"/>
  <c r="G353" i="51"/>
  <c r="I353" i="51"/>
  <c r="H353" i="51"/>
  <c r="G344" i="51"/>
  <c r="H344" i="51"/>
  <c r="I344" i="51"/>
  <c r="G234" i="51"/>
  <c r="H234" i="51"/>
  <c r="I234" i="51"/>
  <c r="H87" i="51"/>
  <c r="I87" i="51"/>
  <c r="G87" i="51"/>
  <c r="G164" i="51"/>
  <c r="H164" i="51"/>
  <c r="I164" i="51"/>
  <c r="H250" i="51"/>
  <c r="I250" i="51"/>
  <c r="G250" i="51"/>
  <c r="G54" i="51"/>
  <c r="H54" i="51"/>
  <c r="I54" i="51"/>
  <c r="G123" i="51"/>
  <c r="H123" i="51"/>
  <c r="I123" i="51"/>
  <c r="H245" i="51"/>
  <c r="I245" i="51"/>
  <c r="G245" i="51"/>
  <c r="G80" i="51"/>
  <c r="H80" i="51"/>
  <c r="I80" i="51"/>
  <c r="G348" i="51"/>
  <c r="I348" i="51"/>
  <c r="H348" i="51"/>
  <c r="H228" i="51"/>
  <c r="I228" i="51"/>
  <c r="G228" i="51"/>
  <c r="G16" i="51"/>
  <c r="H16" i="51"/>
  <c r="I16" i="51"/>
  <c r="H212" i="51"/>
  <c r="I212" i="51"/>
  <c r="G212" i="51"/>
  <c r="H32" i="51"/>
  <c r="I32" i="51"/>
  <c r="G32" i="51"/>
  <c r="H22" i="51"/>
  <c r="I22" i="51"/>
  <c r="G22" i="51"/>
  <c r="I8" i="51"/>
  <c r="G8" i="51"/>
  <c r="H8" i="51"/>
  <c r="G49" i="51"/>
  <c r="H49" i="51"/>
  <c r="I49" i="51"/>
  <c r="G171" i="51"/>
  <c r="H171" i="51"/>
  <c r="I171" i="51"/>
  <c r="I323" i="51"/>
  <c r="H323" i="51"/>
  <c r="G323" i="51"/>
  <c r="G41" i="51"/>
  <c r="H41" i="51"/>
  <c r="I41" i="51"/>
  <c r="G247" i="51"/>
  <c r="H247" i="51"/>
  <c r="I247" i="51"/>
  <c r="H86" i="51"/>
  <c r="I86" i="51"/>
  <c r="G86" i="51"/>
  <c r="H59" i="51"/>
  <c r="I59" i="51"/>
  <c r="G59" i="51"/>
  <c r="G28" i="51"/>
  <c r="H28" i="51"/>
  <c r="I28" i="51"/>
  <c r="H329" i="51"/>
  <c r="G329" i="51"/>
  <c r="I329" i="51"/>
  <c r="G279" i="51"/>
  <c r="H279" i="51"/>
  <c r="I279" i="51"/>
  <c r="H176" i="51"/>
  <c r="I176" i="51"/>
  <c r="G176" i="51"/>
  <c r="I244" i="51"/>
  <c r="H244" i="51"/>
  <c r="G244" i="51"/>
  <c r="G327" i="51"/>
  <c r="H327" i="51"/>
  <c r="I327" i="51"/>
  <c r="G284" i="51"/>
  <c r="H284" i="51"/>
  <c r="I284" i="51"/>
  <c r="H251" i="51"/>
  <c r="G251" i="51"/>
  <c r="I251" i="51"/>
  <c r="G298" i="51"/>
  <c r="I298" i="51"/>
  <c r="H298" i="51"/>
  <c r="G246" i="51"/>
  <c r="I246" i="51"/>
  <c r="H246" i="51"/>
  <c r="H338" i="51"/>
  <c r="I338" i="51"/>
  <c r="G338" i="51"/>
  <c r="G330" i="51"/>
  <c r="H330" i="51"/>
  <c r="I330" i="51"/>
  <c r="G324" i="51"/>
  <c r="H324" i="51"/>
  <c r="I324" i="51"/>
  <c r="I318" i="51"/>
  <c r="H318" i="51"/>
  <c r="G318" i="51"/>
  <c r="H186" i="51"/>
  <c r="I186" i="51"/>
  <c r="G186" i="51"/>
  <c r="H198" i="51"/>
  <c r="I198" i="51"/>
  <c r="G198" i="51"/>
  <c r="G300" i="51"/>
  <c r="I300" i="51"/>
  <c r="H300" i="51"/>
  <c r="I280" i="51"/>
  <c r="H280" i="51"/>
  <c r="G280" i="51"/>
  <c r="H131" i="51"/>
  <c r="G131" i="51"/>
  <c r="I131" i="51"/>
  <c r="H272" i="51"/>
  <c r="G272" i="51"/>
  <c r="I272" i="51"/>
  <c r="H264" i="51"/>
  <c r="G264" i="51"/>
  <c r="I264" i="51"/>
  <c r="H256" i="51"/>
  <c r="G256" i="51"/>
  <c r="I256" i="51"/>
  <c r="G248" i="51"/>
  <c r="H248" i="51"/>
  <c r="I248" i="51"/>
  <c r="G360" i="51"/>
  <c r="I360" i="51"/>
  <c r="H360" i="51"/>
  <c r="G352" i="51"/>
  <c r="H352" i="51"/>
  <c r="I352" i="51"/>
  <c r="G343" i="51"/>
  <c r="H343" i="51"/>
  <c r="I343" i="51"/>
  <c r="G233" i="51"/>
  <c r="H233" i="51"/>
  <c r="I233" i="51"/>
  <c r="G83" i="51"/>
  <c r="I83" i="51"/>
  <c r="H83" i="51"/>
  <c r="H225" i="51"/>
  <c r="G225" i="51"/>
  <c r="I225" i="51"/>
  <c r="G238" i="51"/>
  <c r="H238" i="51"/>
  <c r="I238" i="51"/>
  <c r="I341" i="51"/>
  <c r="H341" i="51"/>
  <c r="G341" i="51"/>
  <c r="H81" i="51"/>
  <c r="I81" i="51"/>
  <c r="G81" i="51"/>
  <c r="G63" i="51"/>
  <c r="H63" i="51"/>
  <c r="I63" i="51"/>
  <c r="I40" i="51"/>
  <c r="G40" i="51"/>
  <c r="H40" i="51"/>
  <c r="G21" i="51"/>
  <c r="H21" i="51"/>
  <c r="I21" i="51"/>
  <c r="H103" i="51"/>
  <c r="I103" i="51"/>
  <c r="G103" i="51"/>
  <c r="G132" i="51"/>
  <c r="H132" i="51"/>
  <c r="I132" i="51"/>
  <c r="H211" i="51"/>
  <c r="I211" i="51"/>
  <c r="G211" i="51"/>
  <c r="I50" i="51"/>
  <c r="G50" i="51"/>
  <c r="H50" i="51"/>
  <c r="G20" i="51"/>
  <c r="H20" i="51"/>
  <c r="I20" i="51"/>
  <c r="G101" i="51"/>
  <c r="H101" i="51"/>
  <c r="I101" i="51"/>
  <c r="G168" i="51"/>
  <c r="H168" i="51"/>
  <c r="I168" i="51"/>
  <c r="H337" i="51"/>
  <c r="I337" i="51"/>
  <c r="G337" i="51"/>
  <c r="G305" i="51"/>
  <c r="I305" i="51"/>
  <c r="H305" i="51"/>
  <c r="I263" i="51"/>
  <c r="H263" i="51"/>
  <c r="G263" i="51"/>
  <c r="H91" i="51"/>
  <c r="I91" i="51"/>
  <c r="G91" i="51"/>
  <c r="I227" i="51"/>
  <c r="G227" i="51"/>
  <c r="H227" i="51"/>
  <c r="I44" i="51"/>
  <c r="G44" i="51"/>
  <c r="H44" i="51"/>
  <c r="G36" i="51"/>
  <c r="H36" i="51"/>
  <c r="I36" i="51"/>
  <c r="G322" i="51"/>
  <c r="I322" i="51"/>
  <c r="H322" i="51"/>
  <c r="G274" i="51"/>
  <c r="H274" i="51"/>
  <c r="I274" i="51"/>
  <c r="I342" i="51"/>
  <c r="H342" i="51"/>
  <c r="G342" i="51"/>
  <c r="G222" i="51"/>
  <c r="H222" i="51"/>
  <c r="I222" i="51"/>
  <c r="I230" i="51"/>
  <c r="G230" i="51"/>
  <c r="H230" i="51"/>
  <c r="I12" i="51"/>
  <c r="G12" i="51"/>
  <c r="H12" i="51"/>
  <c r="G48" i="51"/>
  <c r="H48" i="51"/>
  <c r="I48" i="51"/>
  <c r="G58" i="51"/>
  <c r="H58" i="51"/>
  <c r="I58" i="51"/>
  <c r="I19" i="51"/>
  <c r="G19" i="51"/>
  <c r="H19" i="51"/>
  <c r="I10" i="51"/>
  <c r="G10" i="51"/>
  <c r="H10" i="51"/>
  <c r="G37" i="51"/>
  <c r="H37" i="51"/>
  <c r="I37" i="51"/>
  <c r="G166" i="51"/>
  <c r="H166" i="51"/>
  <c r="I166" i="51"/>
  <c r="G335" i="51"/>
  <c r="I335" i="51"/>
  <c r="H335" i="51"/>
  <c r="H328" i="51"/>
  <c r="I328" i="51"/>
  <c r="G328" i="51"/>
  <c r="H321" i="51"/>
  <c r="I321" i="51"/>
  <c r="G321" i="51"/>
  <c r="H315" i="51"/>
  <c r="G315" i="51"/>
  <c r="I315" i="51"/>
  <c r="G199" i="51"/>
  <c r="I199" i="51"/>
  <c r="H199" i="51"/>
  <c r="I303" i="51"/>
  <c r="G303" i="51"/>
  <c r="H303" i="51"/>
  <c r="G285" i="51"/>
  <c r="I285" i="51"/>
  <c r="H285" i="51"/>
  <c r="H90" i="51"/>
  <c r="I90" i="51"/>
  <c r="G90" i="51"/>
  <c r="I120" i="51"/>
  <c r="G120" i="51"/>
  <c r="H120" i="51"/>
  <c r="G269" i="51"/>
  <c r="I269" i="51"/>
  <c r="H269" i="51"/>
  <c r="G261" i="51"/>
  <c r="H261" i="51"/>
  <c r="I261" i="51"/>
  <c r="G64" i="51"/>
  <c r="H64" i="51"/>
  <c r="I64" i="51"/>
  <c r="H127" i="51"/>
  <c r="I127" i="51"/>
  <c r="G127" i="51"/>
  <c r="G357" i="51"/>
  <c r="I357" i="51"/>
  <c r="H357" i="51"/>
  <c r="H350" i="51"/>
  <c r="I350" i="51"/>
  <c r="G350" i="51"/>
  <c r="I165" i="51"/>
  <c r="H165" i="51"/>
  <c r="G165" i="51"/>
  <c r="H221" i="51"/>
  <c r="I221" i="51"/>
  <c r="G221" i="51"/>
  <c r="I88" i="51"/>
  <c r="G88" i="51"/>
  <c r="H88" i="51"/>
  <c r="G349" i="51"/>
  <c r="H349" i="51"/>
  <c r="I349" i="51"/>
  <c r="G75" i="51"/>
  <c r="H75" i="51"/>
  <c r="I75" i="51"/>
  <c r="I220" i="51"/>
  <c r="G220" i="51"/>
  <c r="H220" i="51"/>
  <c r="G172" i="51"/>
  <c r="H172" i="51"/>
  <c r="I172" i="51"/>
  <c r="I55" i="51"/>
  <c r="H55" i="51"/>
  <c r="G55" i="51"/>
  <c r="H97" i="51"/>
  <c r="I97" i="51"/>
  <c r="G97" i="51"/>
  <c r="G130" i="51"/>
  <c r="I130" i="51"/>
  <c r="H130" i="51"/>
  <c r="G39" i="51"/>
  <c r="H39" i="51"/>
  <c r="I39" i="51"/>
  <c r="G214" i="51"/>
  <c r="I214" i="51"/>
  <c r="H214" i="51"/>
  <c r="H24" i="51"/>
  <c r="I24" i="51"/>
  <c r="G24" i="51"/>
  <c r="H68" i="51"/>
  <c r="G68" i="51"/>
  <c r="I68" i="51"/>
  <c r="H9" i="51"/>
  <c r="I9" i="51"/>
  <c r="G9" i="51"/>
  <c r="G100" i="51"/>
  <c r="H100" i="51"/>
  <c r="I100" i="51"/>
  <c r="H121" i="51"/>
  <c r="I121" i="51"/>
  <c r="G121" i="51"/>
  <c r="I304" i="51"/>
  <c r="H304" i="51"/>
  <c r="G304" i="51"/>
  <c r="I229" i="51"/>
  <c r="G229" i="51"/>
  <c r="H229" i="51"/>
  <c r="I78" i="51"/>
  <c r="G78" i="51"/>
  <c r="H78" i="51"/>
  <c r="G314" i="51"/>
  <c r="H314" i="51"/>
  <c r="I314" i="51"/>
  <c r="I268" i="51"/>
  <c r="G268" i="51"/>
  <c r="H268" i="51"/>
  <c r="G347" i="51"/>
  <c r="H347" i="51"/>
  <c r="I347" i="51"/>
  <c r="H223" i="51"/>
  <c r="I223" i="51"/>
  <c r="G223" i="51"/>
  <c r="I71" i="51"/>
  <c r="G71" i="51"/>
  <c r="H71" i="51"/>
  <c r="I213" i="51"/>
  <c r="G213" i="51"/>
  <c r="H213" i="51"/>
  <c r="G43" i="51"/>
  <c r="H43" i="51"/>
  <c r="I43" i="51"/>
  <c r="I30" i="51"/>
  <c r="G30" i="51"/>
  <c r="H30" i="51"/>
  <c r="H13" i="51"/>
  <c r="I13" i="51"/>
  <c r="G13" i="51"/>
  <c r="G99" i="51"/>
  <c r="H99" i="51"/>
  <c r="I99" i="51"/>
  <c r="I169" i="51"/>
  <c r="G169" i="51"/>
  <c r="H169" i="51"/>
  <c r="G317" i="51"/>
  <c r="H317" i="51"/>
  <c r="I317" i="51"/>
  <c r="G271" i="51"/>
  <c r="H271" i="51"/>
  <c r="I271" i="51"/>
  <c r="G351" i="51"/>
  <c r="H351" i="51"/>
  <c r="I351" i="51"/>
  <c r="G340" i="51"/>
  <c r="I340" i="51"/>
  <c r="H340" i="51"/>
  <c r="G18" i="51"/>
  <c r="H18" i="51"/>
  <c r="I18" i="51"/>
  <c r="H98" i="51"/>
  <c r="I98" i="51"/>
  <c r="G98" i="51"/>
  <c r="I336" i="51"/>
  <c r="H336" i="51"/>
  <c r="G336" i="51"/>
  <c r="H286" i="51"/>
  <c r="I286" i="51"/>
  <c r="G286" i="51"/>
  <c r="G358" i="51"/>
  <c r="I358" i="51"/>
  <c r="H358" i="51"/>
  <c r="H84" i="51"/>
  <c r="I84" i="51"/>
  <c r="G84" i="51"/>
  <c r="G69" i="51"/>
  <c r="H69" i="51"/>
  <c r="I69" i="51"/>
  <c r="I142" i="51"/>
  <c r="G142" i="51"/>
  <c r="H142" i="51"/>
  <c r="G260" i="51"/>
  <c r="I260" i="51"/>
  <c r="H260" i="51"/>
  <c r="G237" i="51"/>
  <c r="H237" i="51"/>
  <c r="I237" i="51"/>
  <c r="G219" i="51"/>
  <c r="H219" i="51"/>
  <c r="I219" i="51"/>
  <c r="H26" i="51"/>
  <c r="I26" i="51"/>
  <c r="G26" i="51"/>
  <c r="G333" i="51"/>
  <c r="H333" i="51"/>
  <c r="I333" i="51"/>
  <c r="G134" i="51"/>
  <c r="H134" i="51"/>
  <c r="I134" i="51"/>
  <c r="I175" i="51"/>
  <c r="G175" i="51"/>
  <c r="H175" i="51"/>
  <c r="G313" i="51"/>
  <c r="H313" i="51"/>
  <c r="I313" i="51"/>
  <c r="H308" i="51"/>
  <c r="I308" i="51"/>
  <c r="G308" i="51"/>
  <c r="H70" i="51"/>
  <c r="I70" i="51"/>
  <c r="G70" i="51"/>
  <c r="I283" i="51"/>
  <c r="G283" i="51"/>
  <c r="H283" i="51"/>
  <c r="G278" i="51"/>
  <c r="H278" i="51"/>
  <c r="I278" i="51"/>
  <c r="H118" i="51"/>
  <c r="I118" i="51"/>
  <c r="G118" i="51"/>
  <c r="H267" i="51"/>
  <c r="I267" i="51"/>
  <c r="G267" i="51"/>
  <c r="G259" i="51"/>
  <c r="H259" i="51"/>
  <c r="I259" i="51"/>
  <c r="G117" i="51"/>
  <c r="H117" i="51"/>
  <c r="I117" i="51"/>
  <c r="G46" i="51"/>
  <c r="H46" i="51"/>
  <c r="I46" i="51"/>
  <c r="G355" i="51"/>
  <c r="H355" i="51"/>
  <c r="I355" i="51"/>
  <c r="G346" i="51"/>
  <c r="I346" i="51"/>
  <c r="H346" i="51"/>
  <c r="G236" i="51"/>
  <c r="I236" i="51"/>
  <c r="H236" i="51"/>
  <c r="G297" i="51"/>
  <c r="H297" i="51"/>
  <c r="I297" i="51"/>
  <c r="I254" i="51"/>
  <c r="G254" i="51"/>
  <c r="H254" i="51"/>
  <c r="G226" i="51"/>
  <c r="H226" i="51"/>
  <c r="I226" i="51"/>
  <c r="G163" i="51"/>
  <c r="H163" i="51"/>
  <c r="I163" i="51"/>
  <c r="G331" i="51"/>
  <c r="H331" i="51"/>
  <c r="I331" i="51"/>
  <c r="G218" i="51"/>
  <c r="H218" i="51"/>
  <c r="I218" i="51"/>
  <c r="I216" i="51"/>
  <c r="H216" i="51"/>
  <c r="G216" i="51"/>
  <c r="G73" i="51"/>
  <c r="H73" i="51"/>
  <c r="I73" i="51"/>
  <c r="I42" i="51"/>
  <c r="G42" i="51"/>
  <c r="H42" i="51"/>
  <c r="G47" i="51"/>
  <c r="I47" i="51"/>
  <c r="H47" i="51"/>
  <c r="I23" i="51"/>
  <c r="G23" i="51"/>
  <c r="H23" i="51"/>
  <c r="I31" i="51"/>
  <c r="G31" i="51"/>
  <c r="H31" i="51"/>
  <c r="G35" i="51"/>
  <c r="H35" i="51"/>
  <c r="I35" i="51"/>
  <c r="G11" i="51"/>
  <c r="H11" i="51"/>
  <c r="I11" i="51"/>
  <c r="G79" i="51"/>
  <c r="H79" i="51"/>
  <c r="I79" i="51"/>
  <c r="G170" i="51"/>
  <c r="H170" i="51"/>
  <c r="I170" i="51"/>
  <c r="G135" i="51"/>
  <c r="I135" i="51"/>
  <c r="H135" i="51"/>
  <c r="I299" i="51"/>
  <c r="H299" i="51"/>
  <c r="G299" i="51"/>
  <c r="I255" i="51"/>
  <c r="G255" i="51"/>
  <c r="H255" i="51"/>
  <c r="G232" i="51"/>
  <c r="I232" i="51"/>
  <c r="H232" i="51"/>
  <c r="I252" i="51"/>
  <c r="G252" i="51"/>
  <c r="H252" i="51"/>
  <c r="G14" i="51"/>
  <c r="H14" i="51"/>
  <c r="I14" i="51"/>
  <c r="G15" i="51"/>
  <c r="H15" i="51"/>
  <c r="I15" i="51"/>
  <c r="G316" i="51"/>
  <c r="H316" i="51"/>
  <c r="I316" i="51"/>
  <c r="I270" i="51"/>
  <c r="G270" i="51"/>
  <c r="H270" i="51"/>
  <c r="G67" i="51"/>
  <c r="H67" i="51"/>
  <c r="I67" i="51"/>
  <c r="I224" i="51"/>
  <c r="G224" i="51"/>
  <c r="H224" i="51"/>
  <c r="G334" i="51"/>
  <c r="I334" i="51"/>
  <c r="H334" i="51"/>
  <c r="G185" i="51"/>
  <c r="H185" i="51"/>
  <c r="I185" i="51"/>
  <c r="H119" i="51"/>
  <c r="G119" i="51"/>
  <c r="I119" i="51"/>
  <c r="I356" i="51"/>
  <c r="H356" i="51"/>
  <c r="G356" i="51"/>
  <c r="G82" i="51"/>
  <c r="H82" i="51"/>
  <c r="I82" i="51"/>
  <c r="G102" i="51"/>
  <c r="H102" i="51"/>
  <c r="I102" i="51"/>
  <c r="G332" i="51"/>
  <c r="H332" i="51"/>
  <c r="I332" i="51"/>
  <c r="G326" i="51"/>
  <c r="H326" i="51"/>
  <c r="I326" i="51"/>
  <c r="I320" i="51"/>
  <c r="G320" i="51"/>
  <c r="H320" i="51"/>
  <c r="G312" i="51"/>
  <c r="I312" i="51"/>
  <c r="H312" i="51"/>
  <c r="G307" i="51"/>
  <c r="H307" i="51"/>
  <c r="I307" i="51"/>
  <c r="G302" i="51"/>
  <c r="I302" i="51"/>
  <c r="H302" i="51"/>
  <c r="G282" i="51"/>
  <c r="H282" i="51"/>
  <c r="I282" i="51"/>
  <c r="H277" i="51"/>
  <c r="G277" i="51"/>
  <c r="I277" i="51"/>
  <c r="H45" i="51"/>
  <c r="G45" i="51"/>
  <c r="I45" i="51"/>
  <c r="I266" i="51"/>
  <c r="G266" i="51"/>
  <c r="H266" i="51"/>
  <c r="G258" i="51"/>
  <c r="I258" i="51"/>
  <c r="H258" i="51"/>
  <c r="I57" i="51"/>
  <c r="H57" i="51"/>
  <c r="G57" i="51"/>
  <c r="G66" i="51"/>
  <c r="H66" i="51"/>
  <c r="I66" i="51"/>
  <c r="G354" i="51"/>
  <c r="H354" i="51"/>
  <c r="I354" i="51"/>
  <c r="H345" i="51"/>
  <c r="I345" i="51"/>
  <c r="G345" i="51"/>
  <c r="G235" i="51"/>
  <c r="H235" i="51"/>
  <c r="I235" i="51"/>
  <c r="H85" i="51"/>
  <c r="I85" i="51"/>
  <c r="G85" i="51"/>
  <c r="G253" i="51"/>
  <c r="H253" i="51"/>
  <c r="I253" i="51"/>
  <c r="H173" i="51"/>
  <c r="I173" i="51"/>
  <c r="G173" i="51"/>
  <c r="I51" i="51"/>
  <c r="G51" i="51"/>
  <c r="H51" i="51"/>
  <c r="H124" i="51"/>
  <c r="G124" i="51"/>
  <c r="I124" i="51"/>
  <c r="I217" i="51"/>
  <c r="G217" i="51"/>
  <c r="H217" i="51"/>
  <c r="I215" i="51"/>
  <c r="G215" i="51"/>
  <c r="H215" i="51"/>
  <c r="I53" i="51"/>
  <c r="G53" i="51"/>
  <c r="H53" i="51"/>
  <c r="I52" i="51"/>
  <c r="G52" i="51"/>
  <c r="H52" i="51"/>
  <c r="H17" i="51"/>
  <c r="I17" i="51"/>
  <c r="G17" i="51"/>
  <c r="G25" i="51"/>
  <c r="H25" i="51"/>
  <c r="I25" i="51"/>
  <c r="I33" i="51"/>
  <c r="G33" i="51"/>
  <c r="H33" i="51"/>
  <c r="G27" i="51"/>
  <c r="H27" i="51"/>
  <c r="I27" i="51"/>
  <c r="H7" i="51"/>
  <c r="G7" i="51"/>
  <c r="I7" i="51"/>
  <c r="G56" i="51"/>
  <c r="H56" i="51"/>
  <c r="I56" i="51"/>
  <c r="G122" i="51"/>
  <c r="H122" i="51"/>
  <c r="I122" i="51"/>
  <c r="E51" i="36"/>
  <c r="K171" i="51"/>
  <c r="K122" i="51"/>
  <c r="K170" i="51"/>
  <c r="K169" i="51"/>
  <c r="K121" i="51"/>
  <c r="K166" i="51"/>
  <c r="K167" i="51"/>
  <c r="K168" i="51"/>
  <c r="K49" i="51"/>
  <c r="K56" i="51"/>
  <c r="K79" i="51"/>
  <c r="K99" i="51"/>
  <c r="K100" i="51"/>
  <c r="K37" i="51"/>
  <c r="K98" i="51"/>
  <c r="K101" i="51"/>
  <c r="V35" i="36"/>
  <c r="V36" i="36"/>
  <c r="V37" i="36"/>
  <c r="V39" i="36"/>
  <c r="V38" i="36"/>
  <c r="V41" i="36"/>
  <c r="V40" i="36"/>
  <c r="V42" i="36"/>
  <c r="V44" i="36"/>
  <c r="V45" i="36"/>
  <c r="V43" i="36"/>
  <c r="V46" i="36"/>
  <c r="AZ34" i="52"/>
  <c r="AZ42" i="52"/>
  <c r="AZ45" i="52"/>
  <c r="AZ39" i="52"/>
  <c r="AZ37" i="52"/>
  <c r="AZ44" i="52"/>
  <c r="AZ36" i="52"/>
  <c r="AZ35" i="52"/>
  <c r="AZ43" i="52"/>
  <c r="AZ38" i="52"/>
  <c r="AZ41" i="52"/>
  <c r="AZ40" i="52"/>
  <c r="C7" i="53"/>
  <c r="C8" i="53"/>
  <c r="C9" i="53"/>
  <c r="C10" i="53"/>
  <c r="C11" i="53"/>
  <c r="C12" i="53"/>
  <c r="C13" i="53"/>
  <c r="C14" i="53"/>
  <c r="C15" i="53"/>
  <c r="C16" i="53"/>
  <c r="C20" i="53"/>
  <c r="C21" i="53"/>
  <c r="C22" i="53"/>
  <c r="C23" i="53"/>
  <c r="C24" i="53"/>
  <c r="C25" i="53"/>
  <c r="C26" i="53"/>
  <c r="C27" i="53"/>
  <c r="C28" i="53"/>
  <c r="C29" i="53"/>
  <c r="D25" i="53"/>
  <c r="D26" i="53"/>
  <c r="D27" i="53"/>
  <c r="D28" i="53"/>
  <c r="D29" i="53"/>
  <c r="D24" i="53"/>
  <c r="D12" i="53"/>
  <c r="D13" i="53"/>
  <c r="D14" i="53"/>
  <c r="D15" i="53"/>
  <c r="D16" i="53"/>
  <c r="D11" i="53"/>
  <c r="D20" i="53"/>
  <c r="D21" i="53"/>
  <c r="D22" i="53"/>
  <c r="D23" i="53"/>
  <c r="D7" i="53"/>
  <c r="D8" i="53"/>
  <c r="D9" i="53"/>
  <c r="D10" i="53"/>
  <c r="D33" i="53"/>
  <c r="D34" i="53"/>
  <c r="D35" i="53"/>
  <c r="D36" i="53"/>
  <c r="D37" i="53"/>
  <c r="D39" i="53"/>
  <c r="D41" i="53"/>
  <c r="D38" i="53"/>
  <c r="D40" i="53"/>
  <c r="D43" i="53"/>
  <c r="D42" i="53"/>
  <c r="D45" i="53"/>
  <c r="F171" i="51" l="1"/>
  <c r="F122" i="51"/>
  <c r="F170" i="51"/>
  <c r="F169" i="51"/>
  <c r="F121" i="51"/>
  <c r="F166" i="51"/>
  <c r="F167" i="51"/>
  <c r="F168" i="51"/>
  <c r="F49" i="51"/>
  <c r="F56" i="51"/>
  <c r="F79" i="51"/>
  <c r="F99" i="51"/>
  <c r="F100" i="51"/>
  <c r="F101" i="51"/>
  <c r="F98" i="51"/>
  <c r="F37" i="51"/>
  <c r="AC5" i="52"/>
  <c r="L8" i="52"/>
  <c r="L11" i="52"/>
  <c r="L20" i="52"/>
  <c r="L21" i="52"/>
  <c r="L13" i="52"/>
  <c r="L17" i="52"/>
  <c r="L15" i="52"/>
  <c r="L14" i="52"/>
  <c r="L34" i="52"/>
  <c r="L36" i="52"/>
  <c r="L39" i="52"/>
  <c r="L37" i="52"/>
  <c r="L51" i="52"/>
  <c r="L60" i="52"/>
  <c r="L64" i="52"/>
  <c r="L7" i="52"/>
  <c r="L16" i="52"/>
  <c r="L9" i="52"/>
  <c r="L12" i="52"/>
  <c r="L19" i="52"/>
  <c r="L10" i="52"/>
  <c r="L40" i="52"/>
  <c r="L81" i="52"/>
  <c r="L82" i="52"/>
  <c r="L107" i="52"/>
  <c r="L35" i="52"/>
  <c r="L18" i="52"/>
  <c r="L25" i="52"/>
  <c r="L55" i="52"/>
  <c r="L31" i="52"/>
  <c r="L24" i="52"/>
  <c r="L54" i="52"/>
  <c r="L62" i="52"/>
  <c r="L85" i="52"/>
  <c r="L84" i="52"/>
  <c r="L29" i="52"/>
  <c r="L30" i="52"/>
  <c r="L94" i="52"/>
  <c r="L89" i="52"/>
  <c r="L33" i="52"/>
  <c r="L23" i="52"/>
  <c r="L86" i="52"/>
  <c r="L43" i="52"/>
  <c r="L103" i="52"/>
  <c r="L87" i="52"/>
  <c r="L88" i="52"/>
  <c r="L42" i="52"/>
  <c r="L91" i="52"/>
  <c r="L90" i="52"/>
  <c r="L93" i="52"/>
  <c r="L63" i="52"/>
  <c r="L50" i="52"/>
  <c r="L95" i="52"/>
  <c r="L98" i="52"/>
  <c r="L96" i="52"/>
  <c r="L99" i="52"/>
  <c r="L97" i="52"/>
  <c r="L101" i="52"/>
  <c r="L100" i="52"/>
  <c r="L102" i="52"/>
  <c r="L56" i="52"/>
  <c r="L26" i="52"/>
  <c r="L46" i="52"/>
  <c r="L104" i="52"/>
  <c r="L106" i="52"/>
  <c r="L52" i="52"/>
  <c r="L105" i="52"/>
  <c r="G10" i="52" l="1"/>
  <c r="H10" i="52"/>
  <c r="I10" i="52"/>
  <c r="H9" i="52"/>
  <c r="I9" i="52"/>
  <c r="G9" i="52"/>
  <c r="G8" i="52"/>
  <c r="H8" i="52"/>
  <c r="I8" i="52"/>
  <c r="I7" i="52"/>
  <c r="H7" i="52"/>
  <c r="G7" i="52"/>
  <c r="AP48" i="51"/>
  <c r="K45" i="51"/>
  <c r="K120" i="51"/>
  <c r="K118" i="51"/>
  <c r="K119" i="51"/>
  <c r="K88" i="51"/>
  <c r="K86" i="51"/>
  <c r="K87" i="51"/>
  <c r="K84" i="51"/>
  <c r="K85" i="51"/>
  <c r="K83" i="51"/>
  <c r="M5" i="36"/>
  <c r="K5" i="36"/>
  <c r="L5" i="36" l="1"/>
  <c r="K34" i="51" l="1"/>
  <c r="K82" i="51"/>
  <c r="G11" i="36"/>
  <c r="G57" i="36"/>
  <c r="G71" i="36"/>
  <c r="G104" i="36"/>
  <c r="G27" i="36"/>
  <c r="G82" i="36"/>
  <c r="G128" i="36"/>
  <c r="G156" i="36"/>
  <c r="G22" i="36"/>
  <c r="G23" i="36"/>
  <c r="G40" i="36"/>
  <c r="G84" i="36"/>
  <c r="G113" i="36"/>
  <c r="G28" i="36"/>
  <c r="G63" i="36"/>
  <c r="G141" i="36"/>
  <c r="G129" i="36"/>
  <c r="G168" i="36"/>
  <c r="G8" i="36"/>
  <c r="G29" i="36"/>
  <c r="G46" i="36"/>
  <c r="G58" i="36"/>
  <c r="G36" i="36"/>
  <c r="G163" i="36"/>
  <c r="G72" i="36"/>
  <c r="G125" i="36"/>
  <c r="G147" i="36"/>
  <c r="G18" i="36"/>
  <c r="G77" i="36"/>
  <c r="G41" i="36"/>
  <c r="G97" i="36"/>
  <c r="G108" i="36"/>
  <c r="G19" i="36"/>
  <c r="G80" i="36"/>
  <c r="G142" i="36"/>
  <c r="G127" i="36"/>
  <c r="G159" i="36"/>
  <c r="G73" i="36"/>
  <c r="G136" i="36"/>
  <c r="G167" i="36"/>
  <c r="G7" i="36"/>
  <c r="G79" i="36"/>
  <c r="G43" i="36"/>
  <c r="G137" i="36"/>
  <c r="G158" i="36"/>
  <c r="G139" i="36"/>
  <c r="G95" i="36"/>
  <c r="G101" i="36"/>
  <c r="G153" i="36"/>
  <c r="G160" i="36"/>
  <c r="G165" i="36"/>
  <c r="G35" i="36"/>
  <c r="G155" i="36"/>
  <c r="G134" i="36"/>
  <c r="G126" i="36"/>
  <c r="G166" i="36"/>
  <c r="G75" i="36"/>
  <c r="G138" i="36"/>
  <c r="G64" i="36"/>
  <c r="G78" i="36"/>
  <c r="G169" i="36"/>
  <c r="G161" i="36"/>
  <c r="G48" i="36"/>
  <c r="G81" i="36"/>
  <c r="G148" i="36"/>
  <c r="G9" i="36"/>
  <c r="G121" i="36"/>
  <c r="G83" i="36"/>
  <c r="G33" i="36"/>
  <c r="G157" i="36"/>
  <c r="G122" i="36"/>
  <c r="G123" i="36"/>
  <c r="G99" i="36"/>
  <c r="G16" i="36"/>
  <c r="G34" i="36"/>
  <c r="G52" i="36"/>
  <c r="G154" i="36"/>
  <c r="G37" i="36"/>
  <c r="G114" i="36"/>
  <c r="G61" i="36"/>
  <c r="G109" i="36"/>
  <c r="G13" i="36"/>
  <c r="G44" i="36"/>
  <c r="G25" i="36"/>
  <c r="G15" i="36"/>
  <c r="G124" i="36"/>
  <c r="G119" i="36"/>
  <c r="G49" i="36"/>
  <c r="G151" i="36"/>
  <c r="G132" i="36"/>
  <c r="G172" i="36"/>
  <c r="G32" i="36"/>
  <c r="G150" i="36"/>
  <c r="G59" i="36"/>
  <c r="G26" i="36"/>
  <c r="G55" i="36"/>
  <c r="G140" i="36"/>
  <c r="G152" i="36"/>
  <c r="G70" i="36"/>
  <c r="G31" i="36"/>
  <c r="G116" i="36"/>
  <c r="G38" i="36"/>
  <c r="G144" i="36"/>
  <c r="G111" i="36"/>
  <c r="G105" i="36"/>
  <c r="G68" i="36"/>
  <c r="G118" i="36"/>
  <c r="G53" i="36"/>
  <c r="G54" i="36"/>
  <c r="G65" i="36"/>
  <c r="G96" i="36"/>
  <c r="G120" i="36"/>
  <c r="G145" i="36"/>
  <c r="G171" i="36"/>
  <c r="G74" i="36"/>
  <c r="G45" i="36"/>
  <c r="G60" i="36"/>
  <c r="G24" i="36"/>
  <c r="G135" i="36"/>
  <c r="G66" i="36"/>
  <c r="G162" i="36"/>
  <c r="G103" i="36"/>
  <c r="G100" i="36"/>
  <c r="G17" i="36"/>
  <c r="G56" i="36"/>
  <c r="G149" i="36"/>
  <c r="G131" i="36"/>
  <c r="G170" i="36"/>
  <c r="G10" i="36"/>
  <c r="G115" i="36"/>
  <c r="G106" i="36"/>
  <c r="G98" i="36"/>
  <c r="G62" i="36"/>
  <c r="G133" i="36"/>
  <c r="G130" i="36"/>
  <c r="G164" i="36"/>
  <c r="G39" i="36"/>
  <c r="G69" i="36"/>
  <c r="G76" i="36"/>
  <c r="G67" i="36"/>
  <c r="G143" i="36"/>
  <c r="G146" i="36"/>
  <c r="G110" i="36"/>
  <c r="G14" i="36"/>
  <c r="G12" i="36"/>
  <c r="G30" i="36"/>
  <c r="G117" i="36"/>
  <c r="G20" i="36"/>
  <c r="G102" i="36"/>
  <c r="G107" i="36"/>
  <c r="G112" i="36"/>
  <c r="G47" i="36"/>
  <c r="H17" i="36"/>
  <c r="H56" i="36"/>
  <c r="H149" i="36"/>
  <c r="H131" i="36"/>
  <c r="H170" i="36"/>
  <c r="H10" i="36"/>
  <c r="H71" i="36"/>
  <c r="H68" i="36"/>
  <c r="H123" i="36"/>
  <c r="H96" i="36"/>
  <c r="H65" i="36"/>
  <c r="H98" i="36"/>
  <c r="H164" i="36"/>
  <c r="H159" i="36"/>
  <c r="H53" i="36"/>
  <c r="H127" i="36"/>
  <c r="H73" i="36"/>
  <c r="H81" i="36"/>
  <c r="H148" i="36"/>
  <c r="H153" i="36"/>
  <c r="H7" i="36"/>
  <c r="H9" i="36"/>
  <c r="H70" i="36"/>
  <c r="H41" i="36"/>
  <c r="H61" i="36"/>
  <c r="H95" i="36"/>
  <c r="H111" i="36"/>
  <c r="H97" i="36"/>
  <c r="H165" i="36"/>
  <c r="H158" i="36"/>
  <c r="H57" i="36"/>
  <c r="H169" i="36"/>
  <c r="H48" i="36"/>
  <c r="H52" i="36"/>
  <c r="H154" i="36"/>
  <c r="H28" i="36"/>
  <c r="H63" i="36"/>
  <c r="H141" i="36"/>
  <c r="H129" i="36"/>
  <c r="H168" i="36"/>
  <c r="H19" i="36"/>
  <c r="H29" i="36"/>
  <c r="H59" i="36"/>
  <c r="H32" i="36"/>
  <c r="H122" i="36"/>
  <c r="H117" i="36"/>
  <c r="H99" i="36"/>
  <c r="H106" i="36"/>
  <c r="H163" i="36"/>
  <c r="H156" i="36"/>
  <c r="H80" i="36"/>
  <c r="H34" i="36"/>
  <c r="H140" i="36"/>
  <c r="H152" i="36"/>
  <c r="H124" i="36"/>
  <c r="H18" i="36"/>
  <c r="H37" i="36"/>
  <c r="H44" i="36"/>
  <c r="H67" i="36"/>
  <c r="H121" i="36"/>
  <c r="H116" i="36"/>
  <c r="H33" i="36"/>
  <c r="H105" i="36"/>
  <c r="H162" i="36"/>
  <c r="H157" i="36"/>
  <c r="H138" i="36"/>
  <c r="H78" i="36"/>
  <c r="H16" i="36"/>
  <c r="H55" i="36"/>
  <c r="H145" i="36"/>
  <c r="H171" i="36"/>
  <c r="H76" i="36"/>
  <c r="H84" i="36"/>
  <c r="H139" i="36"/>
  <c r="H35" i="36"/>
  <c r="H155" i="36"/>
  <c r="H134" i="36"/>
  <c r="H126" i="36"/>
  <c r="H166" i="36"/>
  <c r="H12" i="36"/>
  <c r="H30" i="36"/>
  <c r="H11" i="36"/>
  <c r="H58" i="36"/>
  <c r="H120" i="36"/>
  <c r="H115" i="36"/>
  <c r="H110" i="36"/>
  <c r="H104" i="36"/>
  <c r="H161" i="36"/>
  <c r="H26" i="36"/>
  <c r="H133" i="36"/>
  <c r="H130" i="36"/>
  <c r="H74" i="36"/>
  <c r="H40" i="36"/>
  <c r="H83" i="36"/>
  <c r="H15" i="36"/>
  <c r="H66" i="36"/>
  <c r="H146" i="36"/>
  <c r="H24" i="36"/>
  <c r="H31" i="36"/>
  <c r="H22" i="36"/>
  <c r="H43" i="36"/>
  <c r="H60" i="36"/>
  <c r="H114" i="36"/>
  <c r="H109" i="36"/>
  <c r="H103" i="36"/>
  <c r="H100" i="36"/>
  <c r="H75" i="36"/>
  <c r="H54" i="36"/>
  <c r="H62" i="36"/>
  <c r="H82" i="36"/>
  <c r="H128" i="36"/>
  <c r="H39" i="36"/>
  <c r="H144" i="36"/>
  <c r="H25" i="36"/>
  <c r="H8" i="36"/>
  <c r="H49" i="36"/>
  <c r="H151" i="36"/>
  <c r="H132" i="36"/>
  <c r="H172" i="36"/>
  <c r="H14" i="36"/>
  <c r="H20" i="36"/>
  <c r="H47" i="36"/>
  <c r="H46" i="36"/>
  <c r="H118" i="36"/>
  <c r="H112" i="36"/>
  <c r="H107" i="36"/>
  <c r="H102" i="36"/>
  <c r="H64" i="36"/>
  <c r="H142" i="36"/>
  <c r="H27" i="36"/>
  <c r="H125" i="36"/>
  <c r="H147" i="36"/>
  <c r="H77" i="36"/>
  <c r="H137" i="36"/>
  <c r="H38" i="36"/>
  <c r="H135" i="36"/>
  <c r="H13" i="36"/>
  <c r="H23" i="36"/>
  <c r="H69" i="36"/>
  <c r="H45" i="36"/>
  <c r="H119" i="36"/>
  <c r="H113" i="36"/>
  <c r="H108" i="36"/>
  <c r="H101" i="36"/>
  <c r="H160" i="36"/>
  <c r="H150" i="36"/>
  <c r="H36" i="36"/>
  <c r="H72" i="36"/>
  <c r="H136" i="36"/>
  <c r="H167" i="36"/>
  <c r="H79" i="36"/>
  <c r="H143" i="36"/>
  <c r="I101" i="36" l="1"/>
  <c r="F101" i="36" s="1"/>
  <c r="I49" i="36"/>
  <c r="F49" i="36" s="1"/>
  <c r="I47" i="36"/>
  <c r="F47" i="36" s="1"/>
  <c r="I171" i="36"/>
  <c r="F171" i="36" s="1"/>
  <c r="I147" i="36"/>
  <c r="F147" i="36" s="1"/>
  <c r="I114" i="36"/>
  <c r="F114" i="36" s="1"/>
  <c r="I80" i="36"/>
  <c r="F80" i="36" s="1"/>
  <c r="I16" i="36"/>
  <c r="F16" i="36" s="1"/>
  <c r="I30" i="36"/>
  <c r="F30" i="36" s="1"/>
  <c r="I73" i="36"/>
  <c r="F73" i="36" s="1"/>
  <c r="I36" i="36"/>
  <c r="F36" i="36" s="1"/>
  <c r="I121" i="36"/>
  <c r="F121" i="36" s="1"/>
  <c r="I106" i="36"/>
  <c r="F106" i="36" s="1"/>
  <c r="I62" i="36"/>
  <c r="F62" i="36" s="1"/>
  <c r="I41" i="36"/>
  <c r="F41" i="36" s="1"/>
  <c r="I166" i="36"/>
  <c r="F166" i="36" s="1"/>
  <c r="I98" i="36"/>
  <c r="F98" i="36" s="1"/>
  <c r="I15" i="36"/>
  <c r="F15" i="36" s="1"/>
  <c r="I20" i="36"/>
  <c r="F20" i="36" s="1"/>
  <c r="I124" i="36"/>
  <c r="F124" i="36" s="1"/>
  <c r="I125" i="36"/>
  <c r="F125" i="36" s="1"/>
  <c r="I57" i="36"/>
  <c r="F57" i="36" s="1"/>
  <c r="I60" i="36"/>
  <c r="F60" i="36" s="1"/>
  <c r="I161" i="36"/>
  <c r="F161" i="36" s="1"/>
  <c r="I12" i="36"/>
  <c r="F12" i="36" s="1"/>
  <c r="I144" i="36"/>
  <c r="F144" i="36" s="1"/>
  <c r="I84" i="36"/>
  <c r="F84" i="36" s="1"/>
  <c r="I67" i="36"/>
  <c r="F67" i="36" s="1"/>
  <c r="I131" i="36"/>
  <c r="F131" i="36" s="1"/>
  <c r="I99" i="36"/>
  <c r="F99" i="36" s="1"/>
  <c r="I27" i="36"/>
  <c r="F27" i="36" s="1"/>
  <c r="I70" i="36"/>
  <c r="F70" i="36" s="1"/>
  <c r="I77" i="36"/>
  <c r="F77" i="36" s="1"/>
  <c r="I134" i="36"/>
  <c r="F134" i="36" s="1"/>
  <c r="I65" i="36"/>
  <c r="F65" i="36" s="1"/>
  <c r="I113" i="36"/>
  <c r="F113" i="36" s="1"/>
  <c r="I64" i="36"/>
  <c r="F64" i="36" s="1"/>
  <c r="I14" i="36"/>
  <c r="F14" i="36" s="1"/>
  <c r="I83" i="36"/>
  <c r="F83" i="36" s="1"/>
  <c r="I43" i="36"/>
  <c r="F43" i="36" s="1"/>
  <c r="I143" i="36"/>
  <c r="F143" i="36" s="1"/>
  <c r="I104" i="36"/>
  <c r="F104" i="36" s="1"/>
  <c r="I78" i="36"/>
  <c r="F78" i="36" s="1"/>
  <c r="I34" i="36"/>
  <c r="F34" i="36" s="1"/>
  <c r="I44" i="36"/>
  <c r="F44" i="36" s="1"/>
  <c r="I130" i="36"/>
  <c r="F130" i="36" s="1"/>
  <c r="I151" i="36"/>
  <c r="F151" i="36" s="1"/>
  <c r="I117" i="36"/>
  <c r="F117" i="36" s="1"/>
  <c r="I158" i="36"/>
  <c r="F158" i="36" s="1"/>
  <c r="I9" i="36"/>
  <c r="F9" i="36" s="1"/>
  <c r="I140" i="36"/>
  <c r="F140" i="36" s="1"/>
  <c r="I153" i="36"/>
  <c r="F153" i="36" s="1"/>
  <c r="I96" i="36"/>
  <c r="F96" i="36" s="1"/>
  <c r="I137" i="36"/>
  <c r="F137" i="36" s="1"/>
  <c r="I39" i="36"/>
  <c r="F39" i="36" s="1"/>
  <c r="I141" i="36"/>
  <c r="F141" i="36" s="1"/>
  <c r="I119" i="36"/>
  <c r="F119" i="36" s="1"/>
  <c r="I102" i="36"/>
  <c r="F102" i="36" s="1"/>
  <c r="I54" i="36"/>
  <c r="F54" i="36" s="1"/>
  <c r="I48" i="36"/>
  <c r="F48" i="36" s="1"/>
  <c r="I22" i="36"/>
  <c r="F22" i="36" s="1"/>
  <c r="I126" i="36"/>
  <c r="F126" i="36" s="1"/>
  <c r="I110" i="36"/>
  <c r="F110" i="36" s="1"/>
  <c r="I139" i="36"/>
  <c r="F139" i="36" s="1"/>
  <c r="I157" i="36"/>
  <c r="F157" i="36" s="1"/>
  <c r="I37" i="36"/>
  <c r="F37" i="36" s="1"/>
  <c r="I72" i="36"/>
  <c r="F72" i="36" s="1"/>
  <c r="I155" i="36"/>
  <c r="F155" i="36" s="1"/>
  <c r="I122" i="36"/>
  <c r="F122" i="36" s="1"/>
  <c r="I165" i="36"/>
  <c r="F165" i="36" s="1"/>
  <c r="I7" i="36"/>
  <c r="F7" i="36" s="1"/>
  <c r="I38" i="36"/>
  <c r="F38" i="36" s="1"/>
  <c r="I61" i="36"/>
  <c r="F61" i="36" s="1"/>
  <c r="I108" i="36"/>
  <c r="F108" i="36" s="1"/>
  <c r="I31" i="36"/>
  <c r="F31" i="36" s="1"/>
  <c r="I167" i="36"/>
  <c r="F167" i="36" s="1"/>
  <c r="I149" i="36"/>
  <c r="F149" i="36" s="1"/>
  <c r="I115" i="36"/>
  <c r="F115" i="36" s="1"/>
  <c r="I162" i="36"/>
  <c r="F162" i="36" s="1"/>
  <c r="I18" i="36"/>
  <c r="F18" i="36" s="1"/>
  <c r="I63" i="36"/>
  <c r="F63" i="36" s="1"/>
  <c r="I32" i="36"/>
  <c r="F32" i="36" s="1"/>
  <c r="I97" i="36"/>
  <c r="F97" i="36" s="1"/>
  <c r="I169" i="36"/>
  <c r="F169" i="36" s="1"/>
  <c r="I56" i="36"/>
  <c r="F56" i="36" s="1"/>
  <c r="I68" i="36"/>
  <c r="F68" i="36" s="1"/>
  <c r="I81" i="36"/>
  <c r="F81" i="36" s="1"/>
  <c r="I45" i="36"/>
  <c r="F45" i="36" s="1"/>
  <c r="I170" i="36"/>
  <c r="F170" i="36" s="1"/>
  <c r="I107" i="36"/>
  <c r="F107" i="36" s="1"/>
  <c r="I17" i="36"/>
  <c r="F17" i="36" s="1"/>
  <c r="I55" i="36"/>
  <c r="F55" i="36" s="1"/>
  <c r="I69" i="36"/>
  <c r="F69" i="36" s="1"/>
  <c r="I74" i="36"/>
  <c r="F74" i="36" s="1"/>
  <c r="I146" i="36"/>
  <c r="F146" i="36" s="1"/>
  <c r="I112" i="36"/>
  <c r="F112" i="36" s="1"/>
  <c r="I100" i="36"/>
  <c r="F100" i="36" s="1"/>
  <c r="I24" i="36"/>
  <c r="F24" i="36" s="1"/>
  <c r="I133" i="36"/>
  <c r="F133" i="36" s="1"/>
  <c r="I40" i="36"/>
  <c r="F40" i="36" s="1"/>
  <c r="I120" i="36"/>
  <c r="F120" i="36" s="1"/>
  <c r="I105" i="36"/>
  <c r="F105" i="36" s="1"/>
  <c r="I28" i="36"/>
  <c r="F28" i="36" s="1"/>
  <c r="I59" i="36"/>
  <c r="F59" i="36" s="1"/>
  <c r="I79" i="36"/>
  <c r="F79" i="36" s="1"/>
  <c r="I132" i="36"/>
  <c r="F132" i="36" s="1"/>
  <c r="I111" i="36"/>
  <c r="F111" i="36" s="1"/>
  <c r="I142" i="36"/>
  <c r="F142" i="36" s="1"/>
  <c r="I25" i="36"/>
  <c r="F25" i="36" s="1"/>
  <c r="I71" i="36"/>
  <c r="F71" i="36" s="1"/>
  <c r="I138" i="36"/>
  <c r="F138" i="36" s="1"/>
  <c r="I127" i="36"/>
  <c r="F127" i="36" s="1"/>
  <c r="I23" i="36"/>
  <c r="F23" i="36" s="1"/>
  <c r="I136" i="36"/>
  <c r="F136" i="36" s="1"/>
  <c r="I66" i="36"/>
  <c r="F66" i="36" s="1"/>
  <c r="I118" i="36"/>
  <c r="F118" i="36" s="1"/>
  <c r="I76" i="36"/>
  <c r="F76" i="36" s="1"/>
  <c r="I103" i="36"/>
  <c r="F103" i="36" s="1"/>
  <c r="I152" i="36"/>
  <c r="F152" i="36" s="1"/>
  <c r="I53" i="36"/>
  <c r="F53" i="36" s="1"/>
  <c r="I58" i="36"/>
  <c r="F58" i="36" s="1"/>
  <c r="I129" i="36"/>
  <c r="F129" i="36" s="1"/>
  <c r="I33" i="36"/>
  <c r="F33" i="36" s="1"/>
  <c r="I135" i="36"/>
  <c r="F135" i="36" s="1"/>
  <c r="I156" i="36"/>
  <c r="F156" i="36" s="1"/>
  <c r="I29" i="36"/>
  <c r="F29" i="36" s="1"/>
  <c r="I145" i="36"/>
  <c r="F145" i="36" s="1"/>
  <c r="I150" i="36"/>
  <c r="F150" i="36" s="1"/>
  <c r="I95" i="36"/>
  <c r="F95" i="36" s="1"/>
  <c r="I75" i="36"/>
  <c r="F75" i="36" s="1"/>
  <c r="I159" i="36"/>
  <c r="F159" i="36" s="1"/>
  <c r="I10" i="36"/>
  <c r="F10" i="36" s="1"/>
  <c r="I168" i="36"/>
  <c r="F168" i="36" s="1"/>
  <c r="I52" i="36"/>
  <c r="F52" i="36" s="1"/>
  <c r="I26" i="36"/>
  <c r="F26" i="36" s="1"/>
  <c r="I160" i="36"/>
  <c r="F160" i="36" s="1"/>
  <c r="I13" i="36"/>
  <c r="F13" i="36" s="1"/>
  <c r="I82" i="36"/>
  <c r="F82" i="36" s="1"/>
  <c r="I46" i="36"/>
  <c r="F46" i="36" s="1"/>
  <c r="I172" i="36"/>
  <c r="F172" i="36" s="1"/>
  <c r="I109" i="36"/>
  <c r="F109" i="36" s="1"/>
  <c r="I35" i="36"/>
  <c r="F35" i="36" s="1"/>
  <c r="I11" i="36"/>
  <c r="F11" i="36" s="1"/>
  <c r="I128" i="36"/>
  <c r="F128" i="36" s="1"/>
  <c r="I148" i="36"/>
  <c r="F148" i="36" s="1"/>
  <c r="I116" i="36"/>
  <c r="F116" i="36" s="1"/>
  <c r="I163" i="36"/>
  <c r="F163" i="36" s="1"/>
  <c r="I19" i="36"/>
  <c r="F19" i="36" s="1"/>
  <c r="I154" i="36"/>
  <c r="F154" i="36" s="1"/>
  <c r="I123" i="36"/>
  <c r="F123" i="36" s="1"/>
  <c r="I164" i="36"/>
  <c r="F164" i="36" s="1"/>
  <c r="I8" i="36"/>
  <c r="F8" i="36" s="1"/>
  <c r="A35" i="36" l="1"/>
  <c r="A52" i="36"/>
  <c r="A164" i="36"/>
  <c r="A104" i="36"/>
  <c r="A133" i="36"/>
  <c r="A27" i="36"/>
  <c r="A153" i="36"/>
  <c r="A12" i="36"/>
  <c r="A114" i="36"/>
  <c r="A43" i="36"/>
  <c r="A32" i="36"/>
  <c r="A116" i="36"/>
  <c r="A74" i="36"/>
  <c r="A126" i="36"/>
  <c r="A33" i="36"/>
  <c r="A123" i="36"/>
  <c r="A127" i="36"/>
  <c r="A122" i="36"/>
  <c r="A128" i="36"/>
  <c r="A158" i="36"/>
  <c r="A106" i="36"/>
  <c r="A101" i="36"/>
  <c r="A72" i="36"/>
  <c r="A29" i="36"/>
  <c r="A16" i="36"/>
  <c r="A78" i="36"/>
  <c r="A7" i="36"/>
  <c r="A92" i="36"/>
  <c r="A90" i="36"/>
  <c r="A94" i="36"/>
  <c r="A88" i="36"/>
  <c r="A87" i="36"/>
  <c r="A50" i="36"/>
  <c r="A86" i="36"/>
  <c r="A21" i="36"/>
  <c r="A91" i="36"/>
  <c r="A42" i="36"/>
  <c r="A93" i="36"/>
  <c r="A51" i="36"/>
  <c r="A89" i="36"/>
  <c r="A85" i="36"/>
  <c r="A28" i="36"/>
  <c r="A150" i="36"/>
  <c r="A77" i="36"/>
  <c r="A39" i="36"/>
  <c r="A84" i="36"/>
  <c r="A80" i="36"/>
  <c r="A117" i="36"/>
  <c r="A170" i="36"/>
  <c r="A159" i="36"/>
  <c r="A24" i="36"/>
  <c r="A167" i="36"/>
  <c r="A160" i="36"/>
  <c r="A8" i="36"/>
  <c r="A76" i="36"/>
  <c r="A63" i="36"/>
  <c r="A19" i="36"/>
  <c r="A47" i="36"/>
  <c r="A59" i="36"/>
  <c r="A48" i="36"/>
  <c r="A71" i="36"/>
  <c r="A64" i="36"/>
  <c r="A147" i="36"/>
  <c r="A20" i="36"/>
  <c r="A110" i="36"/>
  <c r="A103" i="36"/>
  <c r="A37" i="36"/>
  <c r="A66" i="36"/>
  <c r="A68" i="36"/>
  <c r="A25" i="36"/>
  <c r="A155" i="36"/>
  <c r="A95" i="36"/>
  <c r="A69" i="36"/>
  <c r="A49" i="36"/>
  <c r="A79" i="36"/>
  <c r="A112" i="36"/>
  <c r="A58" i="36"/>
  <c r="A140" i="36"/>
  <c r="A26" i="36"/>
  <c r="A134" i="36"/>
  <c r="A124" i="36"/>
  <c r="A137" i="36"/>
  <c r="A97" i="36"/>
  <c r="A136" i="36"/>
  <c r="A46" i="36"/>
  <c r="A143" i="36"/>
  <c r="A121" i="36"/>
  <c r="A14" i="36"/>
  <c r="A57" i="36"/>
  <c r="A165" i="36"/>
  <c r="A156" i="36"/>
  <c r="A61" i="36"/>
  <c r="A129" i="36"/>
  <c r="A146" i="36"/>
  <c r="A145" i="36"/>
  <c r="A81" i="36"/>
  <c r="A109" i="36"/>
  <c r="A120" i="36"/>
  <c r="A36" i="36"/>
  <c r="A73" i="36"/>
  <c r="A70" i="36"/>
  <c r="A105" i="36"/>
  <c r="A62" i="36"/>
  <c r="A60" i="36"/>
  <c r="A169" i="36"/>
  <c r="A172" i="36"/>
  <c r="A98" i="36"/>
  <c r="A67" i="36"/>
  <c r="A108" i="36"/>
  <c r="A82" i="36"/>
  <c r="A162" i="36"/>
  <c r="A75" i="36"/>
  <c r="A142" i="36"/>
  <c r="A10" i="36"/>
  <c r="A55" i="36"/>
  <c r="A163" i="36"/>
  <c r="A111" i="36"/>
  <c r="A171" i="36"/>
  <c r="A38" i="36"/>
  <c r="A119" i="36"/>
  <c r="A45" i="36"/>
  <c r="A115" i="36"/>
  <c r="A102" i="36"/>
  <c r="A152" i="36"/>
  <c r="A34" i="36"/>
  <c r="A83" i="36"/>
  <c r="A144" i="36"/>
  <c r="A54" i="36"/>
  <c r="A107" i="36"/>
  <c r="A53" i="36"/>
  <c r="A166" i="36"/>
  <c r="A130" i="36"/>
  <c r="A15" i="36"/>
  <c r="A44" i="36"/>
  <c r="A131" i="36"/>
  <c r="A31" i="36"/>
  <c r="A148" i="36"/>
  <c r="A56" i="36"/>
  <c r="A96" i="36"/>
  <c r="A138" i="36"/>
  <c r="A13" i="36"/>
  <c r="A40" i="36"/>
  <c r="A22" i="36"/>
  <c r="A23" i="36"/>
  <c r="A30" i="36"/>
  <c r="A113" i="36"/>
  <c r="A18" i="36"/>
  <c r="A99" i="36"/>
  <c r="A157" i="36"/>
  <c r="A100" i="36"/>
  <c r="A135" i="36"/>
  <c r="A161" i="36"/>
  <c r="A9" i="36"/>
  <c r="A125" i="36"/>
  <c r="A151" i="36"/>
  <c r="A65" i="36"/>
  <c r="A149" i="36"/>
  <c r="A154" i="36"/>
  <c r="A17" i="36"/>
  <c r="A141" i="36"/>
  <c r="A118" i="36"/>
  <c r="A11" i="36"/>
  <c r="A132" i="36"/>
  <c r="A139" i="36"/>
  <c r="A168" i="36"/>
  <c r="A41" i="36"/>
  <c r="W45" i="36"/>
  <c r="W46" i="36"/>
  <c r="W44" i="36"/>
  <c r="W40" i="36"/>
  <c r="W43" i="36"/>
  <c r="W38" i="36"/>
  <c r="W37" i="36"/>
  <c r="W42" i="36"/>
  <c r="W39" i="36"/>
  <c r="W36" i="36"/>
  <c r="W35" i="36"/>
  <c r="W41" i="36"/>
  <c r="T39" i="36" l="1"/>
  <c r="T37" i="36"/>
  <c r="T38" i="36"/>
  <c r="T36" i="36"/>
  <c r="T43" i="36"/>
  <c r="T41" i="36"/>
  <c r="T40" i="36"/>
  <c r="T35" i="36"/>
  <c r="T44" i="36"/>
  <c r="T46" i="36"/>
  <c r="T45" i="36"/>
  <c r="T42" i="36"/>
  <c r="K80" i="51" l="1"/>
  <c r="K8" i="51"/>
  <c r="K227" i="51"/>
  <c r="K234" i="51"/>
  <c r="K30" i="51"/>
  <c r="K218" i="51"/>
  <c r="K219" i="51"/>
  <c r="K10" i="51"/>
  <c r="K51" i="51"/>
  <c r="K222" i="51"/>
  <c r="K15" i="51"/>
  <c r="K127" i="51"/>
  <c r="K164" i="51"/>
  <c r="K275" i="51"/>
  <c r="K256" i="51"/>
  <c r="K337" i="51"/>
  <c r="K304" i="51"/>
  <c r="K348" i="51"/>
  <c r="K173" i="51"/>
  <c r="K25" i="51"/>
  <c r="K199" i="51"/>
  <c r="K260" i="51"/>
  <c r="K253" i="51"/>
  <c r="K97" i="51"/>
  <c r="K338" i="51"/>
  <c r="K305" i="51"/>
  <c r="K358" i="51"/>
  <c r="K134" i="51"/>
  <c r="K267" i="51"/>
  <c r="K75" i="51"/>
  <c r="K7" i="51"/>
  <c r="K81" i="51"/>
  <c r="K235" i="51"/>
  <c r="K11" i="51"/>
  <c r="K220" i="51"/>
  <c r="K133" i="51"/>
  <c r="K124" i="51"/>
  <c r="K231" i="51"/>
  <c r="K72" i="51"/>
  <c r="K117" i="51"/>
  <c r="K298" i="51"/>
  <c r="K261" i="51"/>
  <c r="K280" i="51"/>
  <c r="K318" i="51"/>
  <c r="K353" i="51"/>
  <c r="K248" i="51"/>
  <c r="K271" i="51"/>
  <c r="K71" i="51"/>
  <c r="K301" i="51"/>
  <c r="K54" i="51"/>
  <c r="K315" i="51"/>
  <c r="K273" i="51"/>
  <c r="K254" i="51"/>
  <c r="K48" i="51"/>
  <c r="K321" i="51"/>
  <c r="K350" i="51"/>
  <c r="K313" i="51"/>
  <c r="K340" i="51"/>
  <c r="K58" i="51"/>
  <c r="K12" i="51"/>
  <c r="K40" i="51"/>
  <c r="K102" i="51"/>
  <c r="K225" i="51"/>
  <c r="K33" i="51"/>
  <c r="K42" i="51"/>
  <c r="K27" i="51"/>
  <c r="K237" i="51"/>
  <c r="K249" i="51"/>
  <c r="K286" i="51"/>
  <c r="K47" i="51"/>
  <c r="K214" i="51"/>
  <c r="K215" i="51"/>
  <c r="K216" i="51"/>
  <c r="K135" i="51"/>
  <c r="K259" i="51"/>
  <c r="K50" i="51"/>
  <c r="K327" i="51"/>
  <c r="K198" i="51"/>
  <c r="K263" i="51"/>
  <c r="K282" i="51"/>
  <c r="K175" i="51"/>
  <c r="K351" i="51"/>
  <c r="K303" i="51"/>
  <c r="K265" i="51"/>
  <c r="K70" i="51"/>
  <c r="K266" i="51"/>
  <c r="K132" i="51"/>
  <c r="K230" i="51"/>
  <c r="K322" i="51"/>
  <c r="K344" i="51"/>
  <c r="K20" i="51"/>
  <c r="K31" i="51"/>
  <c r="K278" i="51"/>
  <c r="K63" i="51"/>
  <c r="K223" i="51"/>
  <c r="K129" i="51"/>
  <c r="K39" i="51"/>
  <c r="K59" i="51"/>
  <c r="K245" i="51"/>
  <c r="K62" i="51"/>
  <c r="K233" i="51"/>
  <c r="K236" i="51"/>
  <c r="K308" i="51"/>
  <c r="K341" i="51"/>
  <c r="K28" i="51"/>
  <c r="K89" i="51"/>
  <c r="K311" i="51"/>
  <c r="K342" i="51"/>
  <c r="K281" i="51"/>
  <c r="K329" i="51"/>
  <c r="K360" i="51"/>
  <c r="K320" i="51"/>
  <c r="K346" i="51"/>
  <c r="K323" i="51"/>
  <c r="K257" i="51"/>
  <c r="K229" i="51"/>
  <c r="K339" i="51"/>
  <c r="K314" i="51"/>
  <c r="K359" i="51"/>
  <c r="K232" i="51"/>
  <c r="K174" i="51"/>
  <c r="K244" i="51"/>
  <c r="K53" i="51"/>
  <c r="K57" i="51"/>
  <c r="K76" i="51"/>
  <c r="K46" i="51"/>
  <c r="K35" i="51"/>
  <c r="K284" i="51"/>
  <c r="K32" i="51"/>
  <c r="K67" i="51"/>
  <c r="K302" i="51"/>
  <c r="K345" i="51"/>
  <c r="K250" i="51"/>
  <c r="K333" i="51"/>
  <c r="K316" i="51"/>
  <c r="K349" i="51"/>
  <c r="K52" i="51"/>
  <c r="K307" i="51"/>
  <c r="K309" i="51"/>
  <c r="K352" i="51"/>
  <c r="K325" i="51"/>
  <c r="K347" i="51"/>
  <c r="K246" i="51"/>
  <c r="K258" i="51"/>
  <c r="K13" i="51"/>
  <c r="K326" i="51"/>
  <c r="K356" i="51"/>
  <c r="K221" i="51"/>
  <c r="K16" i="51"/>
  <c r="K276" i="51"/>
  <c r="K172" i="51"/>
  <c r="K90" i="51"/>
  <c r="K131" i="51"/>
  <c r="K123" i="51"/>
  <c r="K64" i="51"/>
  <c r="K18" i="51"/>
  <c r="K130" i="51"/>
  <c r="K24" i="51"/>
  <c r="K283" i="51"/>
  <c r="K186" i="51"/>
  <c r="K361" i="51"/>
  <c r="K247" i="51"/>
  <c r="K262" i="51"/>
  <c r="K285" i="51"/>
  <c r="K319" i="51"/>
  <c r="K354" i="51"/>
  <c r="K66" i="51"/>
  <c r="K335" i="51"/>
  <c r="K317" i="51"/>
  <c r="K176" i="51"/>
  <c r="K328" i="51"/>
  <c r="K357" i="51"/>
  <c r="K306" i="51"/>
  <c r="K268" i="51"/>
  <c r="K228" i="51"/>
  <c r="K331" i="51"/>
  <c r="K73" i="51"/>
  <c r="K330" i="51"/>
  <c r="K26" i="51"/>
  <c r="K274" i="51"/>
  <c r="K36" i="51"/>
  <c r="K44" i="51"/>
  <c r="K279" i="51"/>
  <c r="K55" i="51"/>
  <c r="K163" i="51"/>
  <c r="K19" i="51"/>
  <c r="K22" i="51"/>
  <c r="K299" i="51"/>
  <c r="K185" i="51"/>
  <c r="K272" i="51"/>
  <c r="K17" i="51"/>
  <c r="K300" i="51"/>
  <c r="K78" i="51"/>
  <c r="K103" i="51"/>
  <c r="K142" i="51"/>
  <c r="K324" i="51"/>
  <c r="K355" i="51"/>
  <c r="K312" i="51"/>
  <c r="K269" i="51"/>
  <c r="K252" i="51"/>
  <c r="K334" i="51"/>
  <c r="K43" i="51"/>
  <c r="K69" i="51"/>
  <c r="K217" i="51"/>
  <c r="K68" i="51"/>
  <c r="K211" i="51"/>
  <c r="K212" i="51"/>
  <c r="K91" i="51"/>
  <c r="K14" i="51"/>
  <c r="K9" i="51"/>
  <c r="K213" i="51"/>
  <c r="K238" i="51"/>
  <c r="K41" i="51"/>
  <c r="K277" i="51"/>
  <c r="K224" i="51"/>
  <c r="K251" i="51"/>
  <c r="K200" i="51"/>
  <c r="K165" i="51"/>
  <c r="K23" i="51"/>
  <c r="K336" i="51"/>
  <c r="K226" i="51"/>
  <c r="K270" i="51"/>
  <c r="K255" i="51"/>
  <c r="K332" i="51"/>
  <c r="K21" i="51"/>
  <c r="K310" i="51"/>
  <c r="K343" i="51"/>
  <c r="K297" i="51"/>
  <c r="K264" i="51"/>
  <c r="J334" i="51" l="1"/>
  <c r="J21" i="51"/>
  <c r="J338" i="51"/>
  <c r="J349" i="51"/>
  <c r="J337" i="51"/>
  <c r="J359" i="51"/>
  <c r="J360" i="51"/>
  <c r="J189" i="51"/>
  <c r="J205" i="51"/>
  <c r="J202" i="51"/>
  <c r="J201" i="51"/>
  <c r="J207" i="51"/>
  <c r="J204" i="51"/>
  <c r="J209" i="51"/>
  <c r="J187" i="51"/>
  <c r="J206" i="51"/>
  <c r="J203" i="51"/>
  <c r="J210" i="51"/>
  <c r="J208" i="51"/>
  <c r="J197" i="51"/>
  <c r="J128" i="51"/>
  <c r="J196" i="51"/>
  <c r="J188" i="51"/>
  <c r="J114" i="51"/>
  <c r="J193" i="51"/>
  <c r="J192" i="51"/>
  <c r="J195" i="51"/>
  <c r="J116" i="51"/>
  <c r="J111" i="51"/>
  <c r="J190" i="51"/>
  <c r="J183" i="51"/>
  <c r="J125" i="51"/>
  <c r="J115" i="51"/>
  <c r="J191" i="51"/>
  <c r="J194" i="51"/>
  <c r="J136" i="51"/>
  <c r="J184" i="51"/>
  <c r="J137" i="51"/>
  <c r="J126" i="51"/>
  <c r="J182" i="51"/>
  <c r="J108" i="51"/>
  <c r="J38" i="51"/>
  <c r="J112" i="51"/>
  <c r="J110" i="51"/>
  <c r="J109" i="51"/>
  <c r="J181" i="51"/>
  <c r="J113" i="51"/>
  <c r="J61" i="51"/>
  <c r="J96" i="51"/>
  <c r="J179" i="51"/>
  <c r="J107" i="51"/>
  <c r="J178" i="51"/>
  <c r="J177" i="51"/>
  <c r="J105" i="51"/>
  <c r="J65" i="51"/>
  <c r="J106" i="51"/>
  <c r="J180" i="51"/>
  <c r="J104" i="51"/>
  <c r="J287" i="51"/>
  <c r="J239" i="51"/>
  <c r="J242" i="51"/>
  <c r="J241" i="51"/>
  <c r="J296" i="51"/>
  <c r="J289" i="51"/>
  <c r="J291" i="51"/>
  <c r="J292" i="51"/>
  <c r="J288" i="51"/>
  <c r="J240" i="51"/>
  <c r="J243" i="51"/>
  <c r="J77" i="51"/>
  <c r="J295" i="51"/>
  <c r="J290" i="51"/>
  <c r="J293" i="51"/>
  <c r="J294" i="51"/>
  <c r="J162" i="51"/>
  <c r="J144" i="51"/>
  <c r="J139" i="51"/>
  <c r="J161" i="51"/>
  <c r="J92" i="51"/>
  <c r="J160" i="51"/>
  <c r="J60" i="51"/>
  <c r="J157" i="51"/>
  <c r="J153" i="51"/>
  <c r="J159" i="51"/>
  <c r="J149" i="51"/>
  <c r="J29" i="51"/>
  <c r="J148" i="51"/>
  <c r="J151" i="51"/>
  <c r="J158" i="51"/>
  <c r="J152" i="51"/>
  <c r="J155" i="51"/>
  <c r="J143" i="51"/>
  <c r="J147" i="51"/>
  <c r="J145" i="51"/>
  <c r="J138" i="51"/>
  <c r="J150" i="51"/>
  <c r="J156" i="51"/>
  <c r="J74" i="51"/>
  <c r="J154" i="51"/>
  <c r="J140" i="51"/>
  <c r="J94" i="51"/>
  <c r="J141" i="51"/>
  <c r="J93" i="51"/>
  <c r="J146" i="51"/>
  <c r="J95" i="51"/>
  <c r="J98" i="51"/>
  <c r="J170" i="51"/>
  <c r="J121" i="51"/>
  <c r="J101" i="51"/>
  <c r="J167" i="51"/>
  <c r="J56" i="51"/>
  <c r="J100" i="51"/>
  <c r="J122" i="51"/>
  <c r="J99" i="51"/>
  <c r="J168" i="51"/>
  <c r="J169" i="51"/>
  <c r="J166" i="51"/>
  <c r="J37" i="51"/>
  <c r="J49" i="51"/>
  <c r="J79" i="51"/>
  <c r="J171" i="51"/>
  <c r="J361" i="51"/>
  <c r="J335" i="51"/>
  <c r="J354" i="51"/>
  <c r="J347" i="51"/>
  <c r="J333" i="51"/>
  <c r="J264" i="51"/>
  <c r="J226" i="51"/>
  <c r="J355" i="51"/>
  <c r="J339" i="51"/>
  <c r="J353" i="51"/>
  <c r="J332" i="51"/>
  <c r="J336" i="51"/>
  <c r="J357" i="51"/>
  <c r="J352" i="51"/>
  <c r="J345" i="51"/>
  <c r="J342" i="51"/>
  <c r="J341" i="51"/>
  <c r="J343" i="51"/>
  <c r="J356" i="51"/>
  <c r="J358" i="51"/>
  <c r="J346" i="51"/>
  <c r="J331" i="51"/>
  <c r="J350" i="51"/>
  <c r="J330" i="51"/>
  <c r="J344" i="51"/>
  <c r="J351" i="51"/>
  <c r="J340" i="51"/>
  <c r="J348" i="51"/>
  <c r="AO41" i="51"/>
  <c r="AO42" i="51"/>
  <c r="AO43" i="51"/>
  <c r="AO40" i="51"/>
  <c r="AO47" i="51"/>
  <c r="AO39" i="51"/>
  <c r="AO45" i="51"/>
  <c r="AO38" i="51"/>
  <c r="AO46" i="51"/>
  <c r="AO37" i="51"/>
  <c r="AO44" i="51"/>
  <c r="AO36" i="51"/>
  <c r="F316" i="51"/>
  <c r="F13" i="51"/>
  <c r="F230" i="51"/>
  <c r="F264" i="51"/>
  <c r="F21" i="51"/>
  <c r="F226" i="51"/>
  <c r="J14" i="51"/>
  <c r="F14" i="51" s="1"/>
  <c r="J130" i="51"/>
  <c r="F130" i="51" s="1"/>
  <c r="J13" i="51"/>
  <c r="J316" i="51"/>
  <c r="J250" i="51"/>
  <c r="F250" i="51" s="1"/>
  <c r="J35" i="51"/>
  <c r="F35" i="51" s="1"/>
  <c r="J314" i="51"/>
  <c r="F314" i="51" s="1"/>
  <c r="J229" i="51"/>
  <c r="F229" i="51" s="1"/>
  <c r="J323" i="51"/>
  <c r="F323" i="51" s="1"/>
  <c r="J129" i="51"/>
  <c r="F129" i="51" s="1"/>
  <c r="J31" i="51"/>
  <c r="F31" i="51" s="1"/>
  <c r="J230" i="51"/>
  <c r="J135" i="51"/>
  <c r="F135" i="51" s="1"/>
  <c r="J215" i="51"/>
  <c r="F215" i="51" s="1"/>
  <c r="J249" i="51"/>
  <c r="F249" i="51" s="1"/>
  <c r="J27" i="51"/>
  <c r="F27" i="51" s="1"/>
  <c r="J12" i="51"/>
  <c r="F12" i="51" s="1"/>
  <c r="F340" i="51"/>
  <c r="J273" i="51"/>
  <c r="F273" i="51" s="1"/>
  <c r="F358" i="51"/>
  <c r="F338" i="51"/>
  <c r="J173" i="51"/>
  <c r="F173" i="51" s="1"/>
  <c r="J283" i="51"/>
  <c r="F283" i="51" s="1"/>
  <c r="J64" i="51"/>
  <c r="F64" i="51" s="1"/>
  <c r="J302" i="51"/>
  <c r="F302" i="51" s="1"/>
  <c r="J32" i="51"/>
  <c r="F32" i="51" s="1"/>
  <c r="J320" i="51"/>
  <c r="F320" i="51" s="1"/>
  <c r="J89" i="51"/>
  <c r="F89" i="51" s="1"/>
  <c r="F341" i="51"/>
  <c r="J236" i="51"/>
  <c r="F236" i="51" s="1"/>
  <c r="J62" i="51"/>
  <c r="F62" i="51" s="1"/>
  <c r="J266" i="51"/>
  <c r="F266" i="51" s="1"/>
  <c r="J265" i="51"/>
  <c r="F265" i="51" s="1"/>
  <c r="J282" i="51"/>
  <c r="F282" i="51" s="1"/>
  <c r="J198" i="51"/>
  <c r="F198" i="51" s="1"/>
  <c r="J71" i="51"/>
  <c r="F71" i="51" s="1"/>
  <c r="J261" i="51"/>
  <c r="F261" i="51" s="1"/>
  <c r="J117" i="51"/>
  <c r="F117" i="51" s="1"/>
  <c r="J124" i="51"/>
  <c r="F124" i="51" s="1"/>
  <c r="J267" i="51"/>
  <c r="F267" i="51" s="1"/>
  <c r="J253" i="51"/>
  <c r="F253" i="51" s="1"/>
  <c r="J199" i="51"/>
  <c r="F199" i="51" s="1"/>
  <c r="F348" i="51"/>
  <c r="J127" i="51"/>
  <c r="F127" i="51" s="1"/>
  <c r="J222" i="51"/>
  <c r="F222" i="51" s="1"/>
  <c r="J8" i="51"/>
  <c r="F8" i="51" s="1"/>
  <c r="J83" i="51"/>
  <c r="F83" i="51" s="1"/>
  <c r="J118" i="51"/>
  <c r="F118" i="51" s="1"/>
  <c r="J86" i="51"/>
  <c r="F86" i="51" s="1"/>
  <c r="J120" i="51"/>
  <c r="F120" i="51" s="1"/>
  <c r="J87" i="51"/>
  <c r="F87" i="51" s="1"/>
  <c r="J84" i="51"/>
  <c r="F84" i="51" s="1"/>
  <c r="J45" i="51"/>
  <c r="F45" i="51" s="1"/>
  <c r="J119" i="51"/>
  <c r="F119" i="51" s="1"/>
  <c r="J85" i="51"/>
  <c r="F85" i="51" s="1"/>
  <c r="J88" i="51"/>
  <c r="F88" i="51" s="1"/>
  <c r="J82" i="51"/>
  <c r="F82" i="51" s="1"/>
  <c r="J34" i="51"/>
  <c r="F34" i="51" s="1"/>
  <c r="J23" i="51"/>
  <c r="F23" i="51" s="1"/>
  <c r="J246" i="51"/>
  <c r="F246" i="51" s="1"/>
  <c r="F343" i="51"/>
  <c r="J224" i="51"/>
  <c r="F224" i="51" s="1"/>
  <c r="F334" i="51"/>
  <c r="J55" i="51"/>
  <c r="F55" i="51" s="1"/>
  <c r="J44" i="51"/>
  <c r="F44" i="51" s="1"/>
  <c r="F331" i="51"/>
  <c r="J176" i="51"/>
  <c r="F176" i="51" s="1"/>
  <c r="J285" i="51"/>
  <c r="F285" i="51" s="1"/>
  <c r="J90" i="51"/>
  <c r="F90" i="51" s="1"/>
  <c r="J307" i="51"/>
  <c r="F307" i="51" s="1"/>
  <c r="F333" i="51"/>
  <c r="J67" i="51"/>
  <c r="F67" i="51" s="1"/>
  <c r="J284" i="51"/>
  <c r="F284" i="51" s="1"/>
  <c r="F360" i="51"/>
  <c r="J39" i="51"/>
  <c r="F39" i="51" s="1"/>
  <c r="J223" i="51"/>
  <c r="F223" i="51" s="1"/>
  <c r="J20" i="51"/>
  <c r="F20" i="51" s="1"/>
  <c r="J132" i="51"/>
  <c r="F132" i="51" s="1"/>
  <c r="J175" i="51"/>
  <c r="F175" i="51" s="1"/>
  <c r="J263" i="51"/>
  <c r="F263" i="51" s="1"/>
  <c r="J286" i="51"/>
  <c r="F286" i="51" s="1"/>
  <c r="J42" i="51"/>
  <c r="F42" i="51" s="1"/>
  <c r="J225" i="51"/>
  <c r="F225" i="51" s="1"/>
  <c r="J58" i="51"/>
  <c r="F58" i="51" s="1"/>
  <c r="J321" i="51"/>
  <c r="F321" i="51" s="1"/>
  <c r="J254" i="51"/>
  <c r="F254" i="51" s="1"/>
  <c r="J315" i="51"/>
  <c r="F315" i="51" s="1"/>
  <c r="F353" i="51"/>
  <c r="J305" i="51"/>
  <c r="F305" i="51" s="1"/>
  <c r="J25" i="51"/>
  <c r="F25" i="51" s="1"/>
  <c r="J10" i="51"/>
  <c r="F10" i="51" s="1"/>
  <c r="J218" i="51"/>
  <c r="F218" i="51" s="1"/>
  <c r="J319" i="51"/>
  <c r="F319" i="51" s="1"/>
  <c r="J73" i="51"/>
  <c r="F73" i="51" s="1"/>
  <c r="F356" i="51"/>
  <c r="F332" i="51"/>
  <c r="J270" i="51"/>
  <c r="F270" i="51" s="1"/>
  <c r="J9" i="51"/>
  <c r="F9" i="51" s="1"/>
  <c r="J324" i="51"/>
  <c r="F324" i="51" s="1"/>
  <c r="J19" i="51"/>
  <c r="F19" i="51" s="1"/>
  <c r="J274" i="51"/>
  <c r="F274" i="51" s="1"/>
  <c r="F357" i="51"/>
  <c r="J186" i="51"/>
  <c r="F186" i="51" s="1"/>
  <c r="J24" i="51"/>
  <c r="F24" i="51" s="1"/>
  <c r="J18" i="51"/>
  <c r="F18" i="51" s="1"/>
  <c r="J276" i="51"/>
  <c r="F276" i="51" s="1"/>
  <c r="J326" i="51"/>
  <c r="F326" i="51" s="1"/>
  <c r="F352" i="51"/>
  <c r="J174" i="51"/>
  <c r="F174" i="51" s="1"/>
  <c r="F339" i="51"/>
  <c r="J28" i="51"/>
  <c r="F28" i="51" s="1"/>
  <c r="J259" i="51"/>
  <c r="F259" i="51" s="1"/>
  <c r="J271" i="51"/>
  <c r="F271" i="51" s="1"/>
  <c r="J298" i="51"/>
  <c r="F298" i="51" s="1"/>
  <c r="J231" i="51"/>
  <c r="F231" i="51" s="1"/>
  <c r="J234" i="51"/>
  <c r="F234" i="51" s="1"/>
  <c r="J328" i="51"/>
  <c r="F328" i="51" s="1"/>
  <c r="J269" i="51"/>
  <c r="F269" i="51" s="1"/>
  <c r="F336" i="51"/>
  <c r="J238" i="51"/>
  <c r="F238" i="51" s="1"/>
  <c r="J43" i="51"/>
  <c r="F43" i="51" s="1"/>
  <c r="J103" i="51"/>
  <c r="F103" i="51" s="1"/>
  <c r="J272" i="51"/>
  <c r="F272" i="51" s="1"/>
  <c r="F354" i="51"/>
  <c r="J247" i="51"/>
  <c r="F247" i="51" s="1"/>
  <c r="J258" i="51"/>
  <c r="F258" i="51" s="1"/>
  <c r="F347" i="51"/>
  <c r="F345" i="51"/>
  <c r="F359" i="51"/>
  <c r="J257" i="51"/>
  <c r="F257" i="51" s="1"/>
  <c r="J233" i="51"/>
  <c r="F233" i="51" s="1"/>
  <c r="J70" i="51"/>
  <c r="F70" i="51" s="1"/>
  <c r="J327" i="51"/>
  <c r="F327" i="51" s="1"/>
  <c r="J214" i="51"/>
  <c r="F214" i="51" s="1"/>
  <c r="J237" i="51"/>
  <c r="F237" i="51" s="1"/>
  <c r="J40" i="51"/>
  <c r="F40" i="51" s="1"/>
  <c r="J313" i="51"/>
  <c r="F313" i="51" s="1"/>
  <c r="J11" i="51"/>
  <c r="F11" i="51" s="1"/>
  <c r="J81" i="51"/>
  <c r="F81" i="51" s="1"/>
  <c r="J75" i="51"/>
  <c r="F75" i="51" s="1"/>
  <c r="J260" i="51"/>
  <c r="F260" i="51" s="1"/>
  <c r="F337" i="51"/>
  <c r="J275" i="51"/>
  <c r="F275" i="51" s="1"/>
  <c r="J227" i="51"/>
  <c r="F227" i="51" s="1"/>
  <c r="J36" i="51"/>
  <c r="F36" i="51" s="1"/>
  <c r="J211" i="51"/>
  <c r="F211" i="51" s="1"/>
  <c r="J217" i="51"/>
  <c r="F217" i="51" s="1"/>
  <c r="J312" i="51"/>
  <c r="F312" i="51" s="1"/>
  <c r="J300" i="51"/>
  <c r="F300" i="51" s="1"/>
  <c r="J299" i="51"/>
  <c r="F299" i="51" s="1"/>
  <c r="F330" i="51"/>
  <c r="J268" i="51"/>
  <c r="F268" i="51" s="1"/>
  <c r="F335" i="51"/>
  <c r="J123" i="51"/>
  <c r="F123" i="51" s="1"/>
  <c r="J221" i="51"/>
  <c r="F221" i="51" s="1"/>
  <c r="F349" i="51"/>
  <c r="J76" i="51"/>
  <c r="F76" i="51" s="1"/>
  <c r="J53" i="51"/>
  <c r="F53" i="51" s="1"/>
  <c r="F346" i="51"/>
  <c r="J281" i="51"/>
  <c r="F281" i="51" s="1"/>
  <c r="J311" i="51"/>
  <c r="F311" i="51" s="1"/>
  <c r="J308" i="51"/>
  <c r="F308" i="51" s="1"/>
  <c r="J245" i="51"/>
  <c r="F245" i="51" s="1"/>
  <c r="J278" i="51"/>
  <c r="F278" i="51" s="1"/>
  <c r="J322" i="51"/>
  <c r="F322" i="51" s="1"/>
  <c r="J303" i="51"/>
  <c r="F303" i="51" s="1"/>
  <c r="J216" i="51"/>
  <c r="F216" i="51" s="1"/>
  <c r="J301" i="51"/>
  <c r="F301" i="51" s="1"/>
  <c r="J280" i="51"/>
  <c r="F280" i="51" s="1"/>
  <c r="J133" i="51"/>
  <c r="F133" i="51" s="1"/>
  <c r="J134" i="51"/>
  <c r="F134" i="51" s="1"/>
  <c r="J97" i="51"/>
  <c r="F97" i="51" s="1"/>
  <c r="J164" i="51"/>
  <c r="F164" i="51" s="1"/>
  <c r="J15" i="51"/>
  <c r="F15" i="51" s="1"/>
  <c r="J219" i="51"/>
  <c r="F219" i="51" s="1"/>
  <c r="J78" i="51"/>
  <c r="F78" i="51" s="1"/>
  <c r="J306" i="51"/>
  <c r="F306" i="51" s="1"/>
  <c r="J212" i="51"/>
  <c r="F212" i="51" s="1"/>
  <c r="J297" i="51"/>
  <c r="F297" i="51" s="1"/>
  <c r="J165" i="51"/>
  <c r="F165" i="51" s="1"/>
  <c r="J251" i="51"/>
  <c r="F251" i="51" s="1"/>
  <c r="J277" i="51"/>
  <c r="F277" i="51" s="1"/>
  <c r="J91" i="51"/>
  <c r="F91" i="51" s="1"/>
  <c r="J252" i="51"/>
  <c r="F252" i="51" s="1"/>
  <c r="J22" i="51"/>
  <c r="F22" i="51" s="1"/>
  <c r="J163" i="51"/>
  <c r="F163" i="51" s="1"/>
  <c r="J317" i="51"/>
  <c r="F317" i="51" s="1"/>
  <c r="J66" i="51"/>
  <c r="F66" i="51" s="1"/>
  <c r="J262" i="51"/>
  <c r="F262" i="51" s="1"/>
  <c r="F361" i="51"/>
  <c r="J131" i="51"/>
  <c r="F131" i="51" s="1"/>
  <c r="J16" i="51"/>
  <c r="F16" i="51" s="1"/>
  <c r="J52" i="51"/>
  <c r="F52" i="51" s="1"/>
  <c r="J57" i="51"/>
  <c r="F57" i="51" s="1"/>
  <c r="J232" i="51"/>
  <c r="F232" i="51" s="1"/>
  <c r="F342" i="51"/>
  <c r="J59" i="51"/>
  <c r="F59" i="51" s="1"/>
  <c r="F344" i="51"/>
  <c r="J33" i="51"/>
  <c r="F33" i="51" s="1"/>
  <c r="J102" i="51"/>
  <c r="F102" i="51" s="1"/>
  <c r="F350" i="51"/>
  <c r="J54" i="51"/>
  <c r="F54" i="51" s="1"/>
  <c r="J248" i="51"/>
  <c r="F248" i="51" s="1"/>
  <c r="J318" i="51"/>
  <c r="F318" i="51" s="1"/>
  <c r="J220" i="51"/>
  <c r="F220" i="51" s="1"/>
  <c r="J7" i="51"/>
  <c r="F7" i="51" s="1"/>
  <c r="J304" i="51"/>
  <c r="F304" i="51" s="1"/>
  <c r="J256" i="51"/>
  <c r="F256" i="51" s="1"/>
  <c r="J80" i="51"/>
  <c r="F80" i="51" s="1"/>
  <c r="J279" i="51"/>
  <c r="F279" i="51" s="1"/>
  <c r="J200" i="51"/>
  <c r="F200" i="51" s="1"/>
  <c r="J69" i="51"/>
  <c r="F69" i="51" s="1"/>
  <c r="J310" i="51"/>
  <c r="F310" i="51" s="1"/>
  <c r="J255" i="51"/>
  <c r="F255" i="51" s="1"/>
  <c r="J41" i="51"/>
  <c r="F41" i="51" s="1"/>
  <c r="J213" i="51"/>
  <c r="F213" i="51" s="1"/>
  <c r="J68" i="51"/>
  <c r="F68" i="51" s="1"/>
  <c r="F355" i="51"/>
  <c r="J142" i="51"/>
  <c r="F142" i="51" s="1"/>
  <c r="J17" i="51"/>
  <c r="F17" i="51" s="1"/>
  <c r="J185" i="51"/>
  <c r="F185" i="51" s="1"/>
  <c r="J26" i="51"/>
  <c r="F26" i="51" s="1"/>
  <c r="J228" i="51"/>
  <c r="F228" i="51" s="1"/>
  <c r="J172" i="51"/>
  <c r="F172" i="51" s="1"/>
  <c r="J325" i="51"/>
  <c r="F325" i="51" s="1"/>
  <c r="J309" i="51"/>
  <c r="F309" i="51" s="1"/>
  <c r="J46" i="51"/>
  <c r="F46" i="51" s="1"/>
  <c r="J244" i="51"/>
  <c r="F244" i="51" s="1"/>
  <c r="J329" i="51"/>
  <c r="F329" i="51" s="1"/>
  <c r="J63" i="51"/>
  <c r="F63" i="51" s="1"/>
  <c r="F351" i="51"/>
  <c r="J50" i="51"/>
  <c r="F50" i="51" s="1"/>
  <c r="J47" i="51"/>
  <c r="F47" i="51" s="1"/>
  <c r="J48" i="51"/>
  <c r="F48" i="51" s="1"/>
  <c r="J72" i="51"/>
  <c r="F72" i="51" s="1"/>
  <c r="J235" i="51"/>
  <c r="F235" i="51" s="1"/>
  <c r="J51" i="51"/>
  <c r="F51" i="51" s="1"/>
  <c r="J30" i="51"/>
  <c r="F30" i="51" s="1"/>
  <c r="C192" i="51" l="1"/>
  <c r="B192" i="51" s="1"/>
  <c r="C210" i="51"/>
  <c r="B210" i="51" s="1"/>
  <c r="C114" i="51"/>
  <c r="B114" i="51" s="1"/>
  <c r="C205" i="51"/>
  <c r="B205" i="51" s="1"/>
  <c r="C202" i="51"/>
  <c r="B202" i="51" s="1"/>
  <c r="C204" i="51"/>
  <c r="B204" i="51" s="1"/>
  <c r="C206" i="51"/>
  <c r="B206" i="51" s="1"/>
  <c r="C203" i="51"/>
  <c r="B203" i="51" s="1"/>
  <c r="C196" i="51"/>
  <c r="B196" i="51" s="1"/>
  <c r="C209" i="51"/>
  <c r="B209" i="51" s="1"/>
  <c r="C197" i="51"/>
  <c r="B197" i="51" s="1"/>
  <c r="C208" i="51"/>
  <c r="B208" i="51" s="1"/>
  <c r="C207" i="51"/>
  <c r="B207" i="51" s="1"/>
  <c r="C193" i="51"/>
  <c r="B193" i="51" s="1"/>
  <c r="C201" i="51"/>
  <c r="B201" i="51" s="1"/>
  <c r="C128" i="51"/>
  <c r="B128" i="51" s="1"/>
  <c r="C188" i="51"/>
  <c r="B188" i="51" s="1"/>
  <c r="C189" i="51"/>
  <c r="B189" i="51" s="1"/>
  <c r="C187" i="51"/>
  <c r="B187" i="51" s="1"/>
  <c r="C137" i="51"/>
  <c r="B137" i="51" s="1"/>
  <c r="C125" i="51"/>
  <c r="B125" i="51" s="1"/>
  <c r="C190" i="51"/>
  <c r="B190" i="51" s="1"/>
  <c r="C194" i="51"/>
  <c r="B194" i="51" s="1"/>
  <c r="C191" i="51"/>
  <c r="B191" i="51" s="1"/>
  <c r="C195" i="51"/>
  <c r="B195" i="51" s="1"/>
  <c r="C136" i="51"/>
  <c r="B136" i="51" s="1"/>
  <c r="C115" i="51"/>
  <c r="B115" i="51" s="1"/>
  <c r="C116" i="51"/>
  <c r="B116" i="51" s="1"/>
  <c r="C111" i="51"/>
  <c r="B111" i="51" s="1"/>
  <c r="C183" i="51"/>
  <c r="B183" i="51" s="1"/>
  <c r="C184" i="51"/>
  <c r="B184" i="51" s="1"/>
  <c r="E146" i="36"/>
  <c r="E23" i="36"/>
  <c r="E119" i="36"/>
  <c r="E22" i="36"/>
  <c r="E74" i="36"/>
  <c r="E13" i="36"/>
  <c r="E121" i="36"/>
  <c r="E143" i="36"/>
  <c r="E38" i="36"/>
  <c r="E162" i="36"/>
  <c r="E103" i="36"/>
  <c r="E44" i="36"/>
  <c r="E33" i="36"/>
  <c r="E15" i="36"/>
  <c r="E135" i="36"/>
  <c r="E9" i="36"/>
  <c r="E41" i="36"/>
  <c r="E137" i="36"/>
  <c r="E105" i="36"/>
  <c r="E85" i="36"/>
  <c r="E84" i="36"/>
  <c r="E101" i="36"/>
  <c r="E153" i="36"/>
  <c r="E39" i="36"/>
  <c r="E60" i="36"/>
  <c r="E116" i="36"/>
  <c r="E97" i="36"/>
  <c r="E95" i="36"/>
  <c r="E83" i="36"/>
  <c r="E76" i="36"/>
  <c r="E61" i="36"/>
  <c r="E114" i="36"/>
  <c r="E67" i="36"/>
  <c r="E124" i="36"/>
  <c r="E45" i="36"/>
  <c r="E7" i="36"/>
  <c r="E77" i="36"/>
  <c r="E109" i="36"/>
  <c r="E24" i="36"/>
  <c r="E160" i="36"/>
  <c r="E100" i="36"/>
  <c r="E111" i="36"/>
  <c r="E79" i="36"/>
  <c r="E66" i="36"/>
  <c r="E158" i="36"/>
  <c r="E69" i="36"/>
  <c r="E87" i="36"/>
  <c r="E70" i="36"/>
  <c r="E139" i="36"/>
  <c r="E144" i="36"/>
  <c r="E31" i="36"/>
  <c r="E21" i="36"/>
  <c r="E43" i="36"/>
  <c r="E25" i="36"/>
  <c r="E18" i="36"/>
  <c r="C112" i="51"/>
  <c r="B112" i="51" s="1"/>
  <c r="C113" i="51"/>
  <c r="B113" i="51" s="1"/>
  <c r="C126" i="51"/>
  <c r="B126" i="51" s="1"/>
  <c r="C110" i="51"/>
  <c r="B110" i="51" s="1"/>
  <c r="C109" i="51"/>
  <c r="B109" i="51" s="1"/>
  <c r="C38" i="51"/>
  <c r="B38" i="51" s="1"/>
  <c r="C108" i="51"/>
  <c r="B108" i="51" s="1"/>
  <c r="C182" i="51"/>
  <c r="B182" i="51" s="1"/>
  <c r="C181" i="51"/>
  <c r="B181" i="51" s="1"/>
  <c r="C96" i="51"/>
  <c r="B96" i="51" s="1"/>
  <c r="C104" i="51"/>
  <c r="B104" i="51" s="1"/>
  <c r="C61" i="51"/>
  <c r="B61" i="51" s="1"/>
  <c r="C178" i="51"/>
  <c r="B178" i="51" s="1"/>
  <c r="C105" i="51"/>
  <c r="B105" i="51" s="1"/>
  <c r="C177" i="51"/>
  <c r="B177" i="51" s="1"/>
  <c r="C107" i="51"/>
  <c r="B107" i="51" s="1"/>
  <c r="C179" i="51"/>
  <c r="B179" i="51" s="1"/>
  <c r="C106" i="51"/>
  <c r="B106" i="51" s="1"/>
  <c r="C180" i="51"/>
  <c r="B180" i="51" s="1"/>
  <c r="E37" i="36"/>
  <c r="C65" i="51"/>
  <c r="C295" i="51"/>
  <c r="B295" i="51" s="1"/>
  <c r="E40" i="36"/>
  <c r="C296" i="51"/>
  <c r="B296" i="51" s="1"/>
  <c r="C287" i="51"/>
  <c r="B287" i="51" s="1"/>
  <c r="C240" i="51"/>
  <c r="B240" i="51" s="1"/>
  <c r="C288" i="51"/>
  <c r="B288" i="51" s="1"/>
  <c r="C290" i="51"/>
  <c r="B290" i="51" s="1"/>
  <c r="C242" i="51"/>
  <c r="B242" i="51" s="1"/>
  <c r="C293" i="51"/>
  <c r="B293" i="51" s="1"/>
  <c r="C294" i="51"/>
  <c r="B294" i="51" s="1"/>
  <c r="C289" i="51"/>
  <c r="B289" i="51" s="1"/>
  <c r="C291" i="51"/>
  <c r="B291" i="51" s="1"/>
  <c r="C292" i="51"/>
  <c r="B292" i="51" s="1"/>
  <c r="C239" i="51"/>
  <c r="B239" i="51" s="1"/>
  <c r="C243" i="51"/>
  <c r="B243" i="51" s="1"/>
  <c r="C241" i="51"/>
  <c r="B241" i="51" s="1"/>
  <c r="C77" i="51"/>
  <c r="B77" i="51" s="1"/>
  <c r="C144" i="51"/>
  <c r="B144" i="51" s="1"/>
  <c r="C141" i="51"/>
  <c r="B141" i="51" s="1"/>
  <c r="C143" i="51"/>
  <c r="B143" i="51" s="1"/>
  <c r="C159" i="51"/>
  <c r="B159" i="51" s="1"/>
  <c r="C154" i="51"/>
  <c r="B154" i="51" s="1"/>
  <c r="C74" i="51"/>
  <c r="B74" i="51" s="1"/>
  <c r="C138" i="51"/>
  <c r="B138" i="51" s="1"/>
  <c r="C147" i="51"/>
  <c r="B147" i="51" s="1"/>
  <c r="C162" i="51"/>
  <c r="B162" i="51" s="1"/>
  <c r="C93" i="51"/>
  <c r="B93" i="51" s="1"/>
  <c r="C155" i="51"/>
  <c r="B155" i="51" s="1"/>
  <c r="C148" i="51"/>
  <c r="B148" i="51" s="1"/>
  <c r="C145" i="51"/>
  <c r="B145" i="51" s="1"/>
  <c r="C149" i="51"/>
  <c r="B149" i="51" s="1"/>
  <c r="C139" i="51"/>
  <c r="B139" i="51" s="1"/>
  <c r="C160" i="51"/>
  <c r="B160" i="51" s="1"/>
  <c r="C94" i="51"/>
  <c r="B94" i="51" s="1"/>
  <c r="C157" i="51"/>
  <c r="B157" i="51" s="1"/>
  <c r="C60" i="51"/>
  <c r="B60" i="51" s="1"/>
  <c r="C92" i="51"/>
  <c r="B92" i="51" s="1"/>
  <c r="C146" i="51"/>
  <c r="B146" i="51" s="1"/>
  <c r="C152" i="51"/>
  <c r="B152" i="51" s="1"/>
  <c r="C153" i="51"/>
  <c r="B153" i="51" s="1"/>
  <c r="C151" i="51"/>
  <c r="B151" i="51" s="1"/>
  <c r="C161" i="51"/>
  <c r="B161" i="51" s="1"/>
  <c r="C29" i="51"/>
  <c r="B29" i="51" s="1"/>
  <c r="C158" i="51"/>
  <c r="B158" i="51" s="1"/>
  <c r="C95" i="51"/>
  <c r="B95" i="51" s="1"/>
  <c r="C140" i="51"/>
  <c r="B140" i="51" s="1"/>
  <c r="C156" i="51"/>
  <c r="B156" i="51" s="1"/>
  <c r="C150" i="51"/>
  <c r="B150" i="51" s="1"/>
  <c r="C171" i="51"/>
  <c r="B171" i="51" s="1"/>
  <c r="C122" i="51"/>
  <c r="B122" i="51" s="1"/>
  <c r="C170" i="51"/>
  <c r="B170" i="51" s="1"/>
  <c r="C169" i="51"/>
  <c r="B169" i="51" s="1"/>
  <c r="C121" i="51"/>
  <c r="B121" i="51" s="1"/>
  <c r="C166" i="51"/>
  <c r="B166" i="51" s="1"/>
  <c r="C168" i="51"/>
  <c r="B168" i="51" s="1"/>
  <c r="C167" i="51"/>
  <c r="B167" i="51" s="1"/>
  <c r="C49" i="51"/>
  <c r="C79" i="51"/>
  <c r="B79" i="51" s="1"/>
  <c r="C56" i="51"/>
  <c r="B56" i="51" s="1"/>
  <c r="C99" i="51"/>
  <c r="B99" i="51" s="1"/>
  <c r="C100" i="51"/>
  <c r="B100" i="51" s="1"/>
  <c r="C101" i="51"/>
  <c r="B101" i="51" s="1"/>
  <c r="C98" i="51"/>
  <c r="B98" i="51" s="1"/>
  <c r="C37" i="51"/>
  <c r="C318" i="51"/>
  <c r="B318" i="51" s="1"/>
  <c r="C235" i="51"/>
  <c r="B235" i="51" s="1"/>
  <c r="C69" i="51"/>
  <c r="C244" i="51"/>
  <c r="B244" i="51" s="1"/>
  <c r="C8" i="51"/>
  <c r="C17" i="51"/>
  <c r="B17" i="51" s="1"/>
  <c r="C342" i="51"/>
  <c r="B342" i="51" s="1"/>
  <c r="C66" i="51"/>
  <c r="B66" i="51" s="1"/>
  <c r="C354" i="51"/>
  <c r="B354" i="51" s="1"/>
  <c r="C254" i="51"/>
  <c r="B254" i="51" s="1"/>
  <c r="C132" i="51"/>
  <c r="B132" i="51" s="1"/>
  <c r="C307" i="51"/>
  <c r="B307" i="51" s="1"/>
  <c r="C224" i="51"/>
  <c r="B224" i="51" s="1"/>
  <c r="C119" i="51"/>
  <c r="B119" i="51" s="1"/>
  <c r="C117" i="51"/>
  <c r="B117" i="51" s="1"/>
  <c r="C236" i="51"/>
  <c r="B236" i="51" s="1"/>
  <c r="C173" i="51"/>
  <c r="B173" i="51" s="1"/>
  <c r="C215" i="51"/>
  <c r="B215" i="51" s="1"/>
  <c r="C35" i="51"/>
  <c r="B35" i="51" s="1"/>
  <c r="C264" i="51"/>
  <c r="B264" i="51" s="1"/>
  <c r="C312" i="51"/>
  <c r="B312" i="51" s="1"/>
  <c r="C142" i="51"/>
  <c r="B142" i="51" s="1"/>
  <c r="C221" i="51"/>
  <c r="B221" i="51" s="1"/>
  <c r="C319" i="51"/>
  <c r="B319" i="51" s="1"/>
  <c r="C45" i="51"/>
  <c r="B45" i="51" s="1"/>
  <c r="C222" i="51"/>
  <c r="B222" i="51" s="1"/>
  <c r="C261" i="51"/>
  <c r="B261" i="51" s="1"/>
  <c r="C341" i="51"/>
  <c r="B341" i="51" s="1"/>
  <c r="C338" i="51"/>
  <c r="B338" i="51" s="1"/>
  <c r="C135" i="51"/>
  <c r="B135" i="51" s="1"/>
  <c r="C250" i="51"/>
  <c r="B250" i="51" s="1"/>
  <c r="C230" i="51"/>
  <c r="B230" i="51" s="1"/>
  <c r="C97" i="51"/>
  <c r="B97" i="51" s="1"/>
  <c r="C174" i="51"/>
  <c r="B174" i="51" s="1"/>
  <c r="C248" i="51"/>
  <c r="B248" i="51" s="1"/>
  <c r="C217" i="51"/>
  <c r="B217" i="51" s="1"/>
  <c r="C274" i="51"/>
  <c r="B274" i="51" s="1"/>
  <c r="C309" i="51"/>
  <c r="B309" i="51" s="1"/>
  <c r="C212" i="51"/>
  <c r="B212" i="51" s="1"/>
  <c r="C11" i="51"/>
  <c r="B11" i="51" s="1"/>
  <c r="C257" i="51"/>
  <c r="B257" i="51" s="1"/>
  <c r="C103" i="51"/>
  <c r="B103" i="51" s="1"/>
  <c r="C352" i="51"/>
  <c r="B352" i="51" s="1"/>
  <c r="C19" i="51"/>
  <c r="B19" i="51" s="1"/>
  <c r="C218" i="51"/>
  <c r="B218" i="51" s="1"/>
  <c r="C58" i="51"/>
  <c r="B58" i="51" s="1"/>
  <c r="C223" i="51"/>
  <c r="C285" i="51"/>
  <c r="B285" i="51" s="1"/>
  <c r="C246" i="51"/>
  <c r="B246" i="51" s="1"/>
  <c r="C84" i="51"/>
  <c r="B84" i="51" s="1"/>
  <c r="C127" i="51"/>
  <c r="B127" i="51" s="1"/>
  <c r="C71" i="51"/>
  <c r="C89" i="51"/>
  <c r="B89" i="51" s="1"/>
  <c r="C358" i="51"/>
  <c r="B358" i="51" s="1"/>
  <c r="C13" i="51"/>
  <c r="C165" i="51"/>
  <c r="B165" i="51" s="1"/>
  <c r="C234" i="51"/>
  <c r="B234" i="51" s="1"/>
  <c r="C200" i="51"/>
  <c r="B200" i="51" s="1"/>
  <c r="C245" i="51"/>
  <c r="B245" i="51" s="1"/>
  <c r="C48" i="51"/>
  <c r="B48" i="51" s="1"/>
  <c r="C163" i="51"/>
  <c r="B163" i="51" s="1"/>
  <c r="C47" i="51"/>
  <c r="B47" i="51" s="1"/>
  <c r="C306" i="51"/>
  <c r="B306" i="51" s="1"/>
  <c r="C359" i="51"/>
  <c r="B359" i="51" s="1"/>
  <c r="C324" i="51"/>
  <c r="B324" i="51" s="1"/>
  <c r="C10" i="51"/>
  <c r="B10" i="51" s="1"/>
  <c r="C225" i="51"/>
  <c r="B225" i="51" s="1"/>
  <c r="C39" i="51"/>
  <c r="B39" i="51" s="1"/>
  <c r="C176" i="51"/>
  <c r="B176" i="51" s="1"/>
  <c r="C23" i="51"/>
  <c r="B23" i="51" s="1"/>
  <c r="C87" i="51"/>
  <c r="B87" i="51" s="1"/>
  <c r="C348" i="51"/>
  <c r="B348" i="51" s="1"/>
  <c r="C198" i="51"/>
  <c r="B198" i="51" s="1"/>
  <c r="C320" i="51"/>
  <c r="B320" i="51" s="1"/>
  <c r="C273" i="51"/>
  <c r="B273" i="51" s="1"/>
  <c r="C31" i="51"/>
  <c r="B31" i="51" s="1"/>
  <c r="C316" i="51"/>
  <c r="B316" i="51" s="1"/>
  <c r="C70" i="51"/>
  <c r="B70" i="51" s="1"/>
  <c r="C72" i="51"/>
  <c r="B72" i="51" s="1"/>
  <c r="C134" i="51"/>
  <c r="B134" i="51" s="1"/>
  <c r="C231" i="51"/>
  <c r="B231" i="51" s="1"/>
  <c r="C343" i="51"/>
  <c r="B343" i="51" s="1"/>
  <c r="C54" i="51"/>
  <c r="B54" i="51" s="1"/>
  <c r="C123" i="51"/>
  <c r="B123" i="51" s="1"/>
  <c r="C350" i="51"/>
  <c r="B350" i="51" s="1"/>
  <c r="C311" i="51"/>
  <c r="B311" i="51" s="1"/>
  <c r="C313" i="51"/>
  <c r="B313" i="51" s="1"/>
  <c r="C172" i="51"/>
  <c r="B172" i="51" s="1"/>
  <c r="C102" i="51"/>
  <c r="B102" i="51" s="1"/>
  <c r="C301" i="51"/>
  <c r="B301" i="51" s="1"/>
  <c r="C345" i="51"/>
  <c r="B345" i="51" s="1"/>
  <c r="C9" i="51"/>
  <c r="B9" i="51" s="1"/>
  <c r="C42" i="51"/>
  <c r="B42" i="51" s="1"/>
  <c r="C34" i="51"/>
  <c r="B34" i="51" s="1"/>
  <c r="C120" i="51"/>
  <c r="B120" i="51" s="1"/>
  <c r="C199" i="51"/>
  <c r="B199" i="51" s="1"/>
  <c r="C282" i="51"/>
  <c r="B282" i="51" s="1"/>
  <c r="C32" i="51"/>
  <c r="B32" i="51" s="1"/>
  <c r="C340" i="51"/>
  <c r="B340" i="51" s="1"/>
  <c r="C129" i="51"/>
  <c r="B129" i="51" s="1"/>
  <c r="C130" i="51"/>
  <c r="B130" i="51" s="1"/>
  <c r="C75" i="51"/>
  <c r="B75" i="51" s="1"/>
  <c r="C46" i="51"/>
  <c r="B46" i="51" s="1"/>
  <c r="C297" i="51"/>
  <c r="B297" i="51" s="1"/>
  <c r="C272" i="51"/>
  <c r="B272" i="51" s="1"/>
  <c r="C90" i="51"/>
  <c r="B90" i="51" s="1"/>
  <c r="C57" i="51"/>
  <c r="B57" i="51" s="1"/>
  <c r="C211" i="51"/>
  <c r="B211" i="51" s="1"/>
  <c r="C80" i="51"/>
  <c r="B80" i="51" s="1"/>
  <c r="C280" i="51"/>
  <c r="B280" i="51" s="1"/>
  <c r="C43" i="51"/>
  <c r="B43" i="51" s="1"/>
  <c r="C50" i="51"/>
  <c r="B50" i="51" s="1"/>
  <c r="C16" i="51"/>
  <c r="B16" i="51" s="1"/>
  <c r="C281" i="51"/>
  <c r="B281" i="51" s="1"/>
  <c r="C40" i="51"/>
  <c r="C276" i="51"/>
  <c r="B276" i="51" s="1"/>
  <c r="C331" i="51"/>
  <c r="B331" i="51" s="1"/>
  <c r="C304" i="51"/>
  <c r="B304" i="51" s="1"/>
  <c r="C91" i="51"/>
  <c r="C275" i="51"/>
  <c r="B275" i="51" s="1"/>
  <c r="C18" i="51"/>
  <c r="B18" i="51" s="1"/>
  <c r="C12" i="51"/>
  <c r="B12" i="51" s="1"/>
  <c r="C349" i="51"/>
  <c r="B349" i="51" s="1"/>
  <c r="C357" i="51"/>
  <c r="B357" i="51" s="1"/>
  <c r="C232" i="51"/>
  <c r="B232" i="51" s="1"/>
  <c r="C233" i="51"/>
  <c r="B233" i="51" s="1"/>
  <c r="C20" i="51"/>
  <c r="B20" i="51" s="1"/>
  <c r="C355" i="51"/>
  <c r="B355" i="51" s="1"/>
  <c r="C308" i="51"/>
  <c r="B308" i="51" s="1"/>
  <c r="C325" i="51"/>
  <c r="B325" i="51" s="1"/>
  <c r="C52" i="51"/>
  <c r="B52" i="51" s="1"/>
  <c r="C36" i="51"/>
  <c r="B36" i="51" s="1"/>
  <c r="C326" i="51"/>
  <c r="B326" i="51" s="1"/>
  <c r="C256" i="51"/>
  <c r="B256" i="51" s="1"/>
  <c r="C78" i="51"/>
  <c r="B78" i="51" s="1"/>
  <c r="C227" i="51"/>
  <c r="B227" i="51" s="1"/>
  <c r="C271" i="51"/>
  <c r="B271" i="51" s="1"/>
  <c r="C360" i="51"/>
  <c r="B360" i="51" s="1"/>
  <c r="C228" i="51"/>
  <c r="B228" i="51" s="1"/>
  <c r="C33" i="51"/>
  <c r="B33" i="51" s="1"/>
  <c r="C219" i="51"/>
  <c r="B219" i="51" s="1"/>
  <c r="C330" i="51"/>
  <c r="B330" i="51" s="1"/>
  <c r="C347" i="51"/>
  <c r="B347" i="51" s="1"/>
  <c r="C259" i="51"/>
  <c r="B259" i="51" s="1"/>
  <c r="C305" i="51"/>
  <c r="B305" i="51" s="1"/>
  <c r="C284" i="51"/>
  <c r="B284" i="51" s="1"/>
  <c r="C82" i="51"/>
  <c r="B82" i="51" s="1"/>
  <c r="C253" i="51"/>
  <c r="B253" i="51" s="1"/>
  <c r="C265" i="51"/>
  <c r="B265" i="51" s="1"/>
  <c r="C323" i="51"/>
  <c r="B323" i="51" s="1"/>
  <c r="C30" i="51"/>
  <c r="B30" i="51" s="1"/>
  <c r="C63" i="51"/>
  <c r="B63" i="51" s="1"/>
  <c r="C26" i="51"/>
  <c r="B26" i="51" s="1"/>
  <c r="C255" i="51"/>
  <c r="B255" i="51" s="1"/>
  <c r="C7" i="51"/>
  <c r="B7" i="51" s="1"/>
  <c r="C344" i="51"/>
  <c r="B344" i="51" s="1"/>
  <c r="C361" i="51"/>
  <c r="B361" i="51" s="1"/>
  <c r="C277" i="51"/>
  <c r="B277" i="51" s="1"/>
  <c r="C15" i="51"/>
  <c r="B15" i="51" s="1"/>
  <c r="C303" i="51"/>
  <c r="B303" i="51" s="1"/>
  <c r="C53" i="51"/>
  <c r="B53" i="51" s="1"/>
  <c r="C299" i="51"/>
  <c r="B299" i="51" s="1"/>
  <c r="C337" i="51"/>
  <c r="B337" i="51" s="1"/>
  <c r="C214" i="51"/>
  <c r="C258" i="51"/>
  <c r="B258" i="51" s="1"/>
  <c r="C269" i="51"/>
  <c r="B269" i="51" s="1"/>
  <c r="C28" i="51"/>
  <c r="B28" i="51" s="1"/>
  <c r="C24" i="51"/>
  <c r="B24" i="51" s="1"/>
  <c r="C332" i="51"/>
  <c r="B332" i="51" s="1"/>
  <c r="C353" i="51"/>
  <c r="B353" i="51" s="1"/>
  <c r="C263" i="51"/>
  <c r="B263" i="51" s="1"/>
  <c r="C67" i="51"/>
  <c r="B67" i="51" s="1"/>
  <c r="C55" i="51"/>
  <c r="B55" i="51" s="1"/>
  <c r="C88" i="51"/>
  <c r="B88" i="51" s="1"/>
  <c r="C118" i="51"/>
  <c r="B118" i="51" s="1"/>
  <c r="C267" i="51"/>
  <c r="B267" i="51" s="1"/>
  <c r="C266" i="51"/>
  <c r="B266" i="51" s="1"/>
  <c r="C64" i="51"/>
  <c r="B64" i="51" s="1"/>
  <c r="C27" i="51"/>
  <c r="B27" i="51" s="1"/>
  <c r="C229" i="51"/>
  <c r="B229" i="51" s="1"/>
  <c r="C226" i="51"/>
  <c r="B226" i="51" s="1"/>
  <c r="C278" i="51"/>
  <c r="B278" i="51" s="1"/>
  <c r="C73" i="51"/>
  <c r="B73" i="51" s="1"/>
  <c r="C317" i="51"/>
  <c r="B317" i="51" s="1"/>
  <c r="C81" i="51"/>
  <c r="B81" i="51" s="1"/>
  <c r="C321" i="51"/>
  <c r="B321" i="51" s="1"/>
  <c r="C279" i="51"/>
  <c r="B279" i="51" s="1"/>
  <c r="C133" i="51"/>
  <c r="B133" i="51" s="1"/>
  <c r="C68" i="51"/>
  <c r="B68" i="51" s="1"/>
  <c r="C22" i="51"/>
  <c r="B22" i="51" s="1"/>
  <c r="C335" i="51"/>
  <c r="B335" i="51" s="1"/>
  <c r="C298" i="51"/>
  <c r="B298" i="51" s="1"/>
  <c r="C213" i="51"/>
  <c r="C252" i="51"/>
  <c r="B252" i="51" s="1"/>
  <c r="C268" i="51"/>
  <c r="B268" i="51" s="1"/>
  <c r="C238" i="51"/>
  <c r="B238" i="51" s="1"/>
  <c r="C25" i="51"/>
  <c r="B25" i="51" s="1"/>
  <c r="C351" i="51"/>
  <c r="B351" i="51" s="1"/>
  <c r="C41" i="51"/>
  <c r="B41" i="51" s="1"/>
  <c r="C131" i="51"/>
  <c r="B131" i="51" s="1"/>
  <c r="C216" i="51"/>
  <c r="C346" i="51"/>
  <c r="B346" i="51" s="1"/>
  <c r="C237" i="51"/>
  <c r="B237" i="51" s="1"/>
  <c r="C336" i="51"/>
  <c r="B336" i="51" s="1"/>
  <c r="C270" i="51"/>
  <c r="B270" i="51" s="1"/>
  <c r="C286" i="51"/>
  <c r="B286" i="51" s="1"/>
  <c r="C44" i="51"/>
  <c r="B44" i="51" s="1"/>
  <c r="C86" i="51"/>
  <c r="B86" i="51" s="1"/>
  <c r="C302" i="51"/>
  <c r="B302" i="51" s="1"/>
  <c r="C14" i="51"/>
  <c r="B14" i="51" s="1"/>
  <c r="C51" i="51"/>
  <c r="B51" i="51" s="1"/>
  <c r="C329" i="51"/>
  <c r="B329" i="51" s="1"/>
  <c r="C185" i="51"/>
  <c r="B185" i="51" s="1"/>
  <c r="C310" i="51"/>
  <c r="B310" i="51" s="1"/>
  <c r="C220" i="51"/>
  <c r="B220" i="51" s="1"/>
  <c r="C59" i="51"/>
  <c r="B59" i="51" s="1"/>
  <c r="C262" i="51"/>
  <c r="B262" i="51" s="1"/>
  <c r="C251" i="51"/>
  <c r="B251" i="51" s="1"/>
  <c r="C164" i="51"/>
  <c r="B164" i="51" s="1"/>
  <c r="C322" i="51"/>
  <c r="B322" i="51" s="1"/>
  <c r="C76" i="51"/>
  <c r="B76" i="51" s="1"/>
  <c r="C300" i="51"/>
  <c r="B300" i="51" s="1"/>
  <c r="C260" i="51"/>
  <c r="B260" i="51" s="1"/>
  <c r="C327" i="51"/>
  <c r="B327" i="51" s="1"/>
  <c r="C247" i="51"/>
  <c r="B247" i="51" s="1"/>
  <c r="C328" i="51"/>
  <c r="B328" i="51" s="1"/>
  <c r="C339" i="51"/>
  <c r="B339" i="51" s="1"/>
  <c r="C186" i="51"/>
  <c r="B186" i="51" s="1"/>
  <c r="C356" i="51"/>
  <c r="B356" i="51" s="1"/>
  <c r="C315" i="51"/>
  <c r="B315" i="51" s="1"/>
  <c r="C175" i="51"/>
  <c r="B175" i="51" s="1"/>
  <c r="C333" i="51"/>
  <c r="B333" i="51" s="1"/>
  <c r="C334" i="51"/>
  <c r="B334" i="51" s="1"/>
  <c r="C85" i="51"/>
  <c r="B85" i="51" s="1"/>
  <c r="C83" i="51"/>
  <c r="B83" i="51" s="1"/>
  <c r="C124" i="51"/>
  <c r="B124" i="51" s="1"/>
  <c r="C62" i="51"/>
  <c r="B62" i="51" s="1"/>
  <c r="C283" i="51"/>
  <c r="B283" i="51" s="1"/>
  <c r="C249" i="51"/>
  <c r="B249" i="51" s="1"/>
  <c r="C314" i="51"/>
  <c r="B314" i="51" s="1"/>
  <c r="C21" i="51"/>
  <c r="B21" i="51" s="1"/>
  <c r="E12" i="53"/>
  <c r="E16" i="53"/>
  <c r="AP47" i="51"/>
  <c r="E11" i="53"/>
  <c r="E10" i="53"/>
  <c r="E15" i="53"/>
  <c r="E14" i="53"/>
  <c r="E8" i="53"/>
  <c r="E9" i="53"/>
  <c r="AP45" i="51"/>
  <c r="AP44" i="51"/>
  <c r="AP40" i="51"/>
  <c r="AP41" i="51"/>
  <c r="AP46" i="51"/>
  <c r="AP38" i="51"/>
  <c r="AP43" i="51"/>
  <c r="AP37" i="51"/>
  <c r="AP42" i="51"/>
  <c r="AP36" i="51"/>
  <c r="AP39" i="51"/>
  <c r="E45" i="53"/>
  <c r="E7" i="53"/>
  <c r="E13" i="53"/>
  <c r="B214" i="51" l="1"/>
  <c r="B71" i="51"/>
  <c r="B40" i="51"/>
  <c r="B69" i="51"/>
  <c r="B216" i="51"/>
  <c r="B213" i="51"/>
  <c r="B91" i="51"/>
  <c r="B13" i="51"/>
  <c r="B223" i="51"/>
  <c r="B65" i="51"/>
  <c r="B8" i="51"/>
  <c r="AM42" i="51"/>
  <c r="AM38" i="51"/>
  <c r="AM46" i="51"/>
  <c r="AM47" i="51"/>
  <c r="AM41" i="51"/>
  <c r="AM39" i="51"/>
  <c r="AM40" i="51"/>
  <c r="AM36" i="51"/>
  <c r="AM48" i="51"/>
  <c r="AM44" i="51"/>
  <c r="AM45" i="51"/>
  <c r="AM37" i="51"/>
  <c r="AM43" i="51"/>
  <c r="B49" i="51"/>
  <c r="B37" i="51"/>
  <c r="B12" i="53"/>
  <c r="B15" i="53"/>
  <c r="B9" i="53"/>
  <c r="B10" i="53"/>
  <c r="B8" i="53"/>
  <c r="B13" i="53"/>
  <c r="B7" i="53"/>
  <c r="B14" i="53"/>
  <c r="B16" i="53"/>
  <c r="B11" i="53"/>
  <c r="D10" i="36" l="1"/>
  <c r="D63" i="36"/>
  <c r="D20" i="36"/>
  <c r="D113" i="36"/>
  <c r="D56" i="36"/>
  <c r="D121" i="36"/>
  <c r="D138" i="36"/>
  <c r="D8" i="36"/>
  <c r="D158" i="36"/>
  <c r="D95" i="36"/>
  <c r="D146" i="36"/>
  <c r="D83" i="36"/>
  <c r="D101" i="36"/>
  <c r="D96" i="36"/>
  <c r="D61" i="36"/>
  <c r="D160" i="36"/>
  <c r="D37" i="36"/>
  <c r="D17" i="36"/>
  <c r="D116" i="36"/>
  <c r="D79" i="36"/>
  <c r="D122" i="36"/>
  <c r="D16" i="36"/>
  <c r="D168" i="36"/>
  <c r="D30" i="36"/>
  <c r="D135" i="36"/>
  <c r="D129" i="36"/>
  <c r="D72" i="36"/>
  <c r="D145" i="36"/>
  <c r="D38" i="36"/>
  <c r="D117" i="36"/>
  <c r="D125" i="36"/>
  <c r="D102" i="36"/>
  <c r="D22" i="36"/>
  <c r="D120" i="36"/>
  <c r="D74" i="36"/>
  <c r="D127" i="36"/>
  <c r="D68" i="36"/>
  <c r="D165" i="36"/>
  <c r="D23" i="36"/>
  <c r="D45" i="36"/>
  <c r="D164" i="36"/>
  <c r="D109" i="36"/>
  <c r="D157" i="36"/>
  <c r="D35" i="36"/>
  <c r="D48" i="36"/>
  <c r="D54" i="36"/>
  <c r="D111" i="36"/>
  <c r="D126" i="36"/>
  <c r="D172" i="36"/>
  <c r="D162" i="36"/>
  <c r="D151" i="36"/>
  <c r="D55" i="36"/>
  <c r="D62" i="36"/>
  <c r="D76" i="36"/>
  <c r="D130" i="36"/>
  <c r="D163" i="36"/>
  <c r="D155" i="36"/>
  <c r="D34" i="36"/>
  <c r="D65" i="36"/>
  <c r="D108" i="36"/>
  <c r="D36" i="36"/>
  <c r="D159" i="36"/>
  <c r="D49" i="36"/>
  <c r="D75" i="36"/>
  <c r="D123" i="36"/>
  <c r="D52" i="36"/>
  <c r="D144" i="36"/>
  <c r="D69" i="36"/>
  <c r="D64" i="36"/>
  <c r="D40" i="36"/>
  <c r="D149" i="36"/>
  <c r="D170" i="36"/>
  <c r="D27" i="36"/>
  <c r="D104" i="36"/>
  <c r="D100" i="36"/>
  <c r="D161" i="36"/>
  <c r="D114" i="36"/>
  <c r="D147" i="36"/>
  <c r="D32" i="36"/>
  <c r="D154" i="36"/>
  <c r="D80" i="36"/>
  <c r="D128" i="36"/>
  <c r="D166" i="36"/>
  <c r="D67" i="36"/>
  <c r="D103" i="36"/>
  <c r="D13" i="36"/>
  <c r="D112" i="36"/>
  <c r="D77" i="36"/>
  <c r="D98" i="36"/>
  <c r="D105" i="36"/>
  <c r="D39" i="36"/>
  <c r="D46" i="36"/>
  <c r="D139" i="36"/>
  <c r="D115" i="36"/>
  <c r="D118" i="36"/>
  <c r="D134" i="36"/>
  <c r="D53" i="36"/>
  <c r="D25" i="36"/>
  <c r="D18" i="36"/>
  <c r="D153" i="36"/>
  <c r="D84" i="36"/>
  <c r="D106" i="36"/>
  <c r="D99" i="36"/>
  <c r="D143" i="36"/>
  <c r="D47" i="36"/>
  <c r="D136" i="36"/>
  <c r="D41" i="36"/>
  <c r="D60" i="36"/>
  <c r="D141" i="36"/>
  <c r="D142" i="36"/>
  <c r="D15" i="36"/>
  <c r="D58" i="36"/>
  <c r="D24" i="36"/>
  <c r="D71" i="36"/>
  <c r="D133" i="36"/>
  <c r="D156" i="36"/>
  <c r="D44" i="36"/>
  <c r="D28" i="36"/>
  <c r="D150" i="36"/>
  <c r="D119" i="36"/>
  <c r="D82" i="36"/>
  <c r="D59" i="36"/>
  <c r="D140" i="36"/>
  <c r="D73" i="36"/>
  <c r="D169" i="36"/>
  <c r="D148" i="36"/>
  <c r="D132" i="36"/>
  <c r="D152" i="36"/>
  <c r="D131" i="36"/>
  <c r="D43" i="36"/>
  <c r="D31" i="36"/>
  <c r="D57" i="36"/>
  <c r="D81" i="36"/>
  <c r="D167" i="36"/>
  <c r="D110" i="36"/>
  <c r="D97" i="36"/>
  <c r="D19" i="36"/>
  <c r="D29" i="36"/>
  <c r="D26" i="36"/>
  <c r="D14" i="36"/>
  <c r="D171" i="36"/>
  <c r="D107" i="36"/>
  <c r="D70" i="36"/>
  <c r="D137" i="36"/>
  <c r="D66" i="36"/>
  <c r="D124" i="36"/>
  <c r="D78" i="36"/>
  <c r="D9" i="36"/>
  <c r="D33" i="36"/>
  <c r="K7" i="52" l="1"/>
  <c r="K8" i="52" l="1"/>
  <c r="F7" i="52" l="1"/>
  <c r="F8" i="52"/>
  <c r="E21" i="53" s="1"/>
  <c r="K10" i="52"/>
  <c r="E8" i="36"/>
  <c r="E12" i="36" l="1"/>
  <c r="E20" i="53"/>
  <c r="F10" i="52"/>
  <c r="E14" i="36" s="1"/>
  <c r="K9" i="52" l="1"/>
  <c r="E23" i="53"/>
  <c r="F9" i="52" l="1"/>
  <c r="K14" i="52"/>
  <c r="E11" i="36" l="1"/>
  <c r="I11" i="52"/>
  <c r="H11" i="52"/>
  <c r="K12" i="52"/>
  <c r="G11" i="52"/>
  <c r="I12" i="52"/>
  <c r="H12" i="52"/>
  <c r="E22" i="53"/>
  <c r="G12" i="52"/>
  <c r="G13" i="52"/>
  <c r="K13" i="52"/>
  <c r="K11" i="52"/>
  <c r="H14" i="52"/>
  <c r="I14" i="52"/>
  <c r="G14" i="52"/>
  <c r="I13" i="52"/>
  <c r="H13" i="52"/>
  <c r="F13" i="52" l="1"/>
  <c r="E26" i="53" s="1"/>
  <c r="F11" i="52"/>
  <c r="F12" i="52"/>
  <c r="E25" i="53" s="1"/>
  <c r="E29" i="36"/>
  <c r="G15" i="52"/>
  <c r="H15" i="52"/>
  <c r="I15" i="52"/>
  <c r="K15" i="52"/>
  <c r="F14" i="52"/>
  <c r="G16" i="52"/>
  <c r="H16" i="52"/>
  <c r="I16" i="52"/>
  <c r="K16" i="52"/>
  <c r="E32" i="36"/>
  <c r="E24" i="53" l="1"/>
  <c r="E20" i="36"/>
  <c r="E27" i="53"/>
  <c r="E19" i="36"/>
  <c r="F15" i="52"/>
  <c r="I17" i="52"/>
  <c r="G17" i="52"/>
  <c r="H17" i="52"/>
  <c r="K17" i="52"/>
  <c r="H18" i="52"/>
  <c r="I18" i="52"/>
  <c r="G18" i="52"/>
  <c r="K18" i="52"/>
  <c r="F16" i="52"/>
  <c r="F18" i="52" l="1"/>
  <c r="E59" i="36" s="1"/>
  <c r="G20" i="52"/>
  <c r="H20" i="52"/>
  <c r="I20" i="52"/>
  <c r="K20" i="52"/>
  <c r="G19" i="52"/>
  <c r="H19" i="52"/>
  <c r="I19" i="52"/>
  <c r="K19" i="52"/>
  <c r="E29" i="53"/>
  <c r="E10" i="36"/>
  <c r="E28" i="53"/>
  <c r="F17" i="52"/>
  <c r="B28" i="53" l="1"/>
  <c r="G22" i="52"/>
  <c r="H22" i="52"/>
  <c r="I22" i="52"/>
  <c r="K22" i="52"/>
  <c r="F19" i="52"/>
  <c r="G21" i="52"/>
  <c r="H21" i="52"/>
  <c r="I21" i="52"/>
  <c r="K21" i="52"/>
  <c r="F20" i="52"/>
  <c r="E46" i="36"/>
  <c r="B27" i="53"/>
  <c r="B26" i="53"/>
  <c r="B22" i="53"/>
  <c r="B25" i="53"/>
  <c r="B21" i="53"/>
  <c r="B24" i="53"/>
  <c r="B23" i="53"/>
  <c r="B20" i="53"/>
  <c r="B29" i="53"/>
  <c r="F21" i="52" l="1"/>
  <c r="E152" i="36" s="1"/>
  <c r="H24" i="52"/>
  <c r="I24" i="52"/>
  <c r="G24" i="52"/>
  <c r="K24" i="52"/>
  <c r="E47" i="36"/>
  <c r="H23" i="52"/>
  <c r="I23" i="52"/>
  <c r="K23" i="52"/>
  <c r="G23" i="52"/>
  <c r="F22" i="52"/>
  <c r="F24" i="52" l="1"/>
  <c r="E71" i="36" s="1"/>
  <c r="F23" i="52"/>
  <c r="G25" i="52"/>
  <c r="H25" i="52"/>
  <c r="I25" i="52"/>
  <c r="K25" i="52"/>
  <c r="G26" i="52"/>
  <c r="H26" i="52"/>
  <c r="I26" i="52"/>
  <c r="K26" i="52"/>
  <c r="F25" i="52" l="1"/>
  <c r="H28" i="52"/>
  <c r="I28" i="52"/>
  <c r="G28" i="52"/>
  <c r="K28" i="52"/>
  <c r="E54" i="36"/>
  <c r="F26" i="52"/>
  <c r="I27" i="52"/>
  <c r="G27" i="52"/>
  <c r="H27" i="52"/>
  <c r="K27" i="52"/>
  <c r="F28" i="52" l="1"/>
  <c r="I30" i="52"/>
  <c r="H30" i="52"/>
  <c r="K30" i="52"/>
  <c r="G30" i="52"/>
  <c r="E98" i="36"/>
  <c r="F27" i="52"/>
  <c r="H29" i="52"/>
  <c r="G29" i="52"/>
  <c r="I29" i="52"/>
  <c r="K29" i="52"/>
  <c r="F30" i="52" l="1"/>
  <c r="E68" i="36" s="1"/>
  <c r="G32" i="52"/>
  <c r="H32" i="52"/>
  <c r="I32" i="52"/>
  <c r="K32" i="52"/>
  <c r="E52" i="36"/>
  <c r="F29" i="52"/>
  <c r="H31" i="52"/>
  <c r="G31" i="52"/>
  <c r="K31" i="52"/>
  <c r="I31" i="52"/>
  <c r="F31" i="52" l="1"/>
  <c r="E30" i="36" s="1"/>
  <c r="I34" i="52"/>
  <c r="G34" i="52"/>
  <c r="H34" i="52"/>
  <c r="K34" i="52"/>
  <c r="G33" i="52"/>
  <c r="H33" i="52"/>
  <c r="I33" i="52"/>
  <c r="K33" i="52"/>
  <c r="E53" i="36"/>
  <c r="F32" i="52"/>
  <c r="F33" i="52" l="1"/>
  <c r="F34" i="52"/>
  <c r="H35" i="52"/>
  <c r="G35" i="52"/>
  <c r="I35" i="52"/>
  <c r="K35" i="52"/>
  <c r="H36" i="52"/>
  <c r="G36" i="52"/>
  <c r="I36" i="52"/>
  <c r="K36" i="52"/>
  <c r="F35" i="52" l="1"/>
  <c r="I38" i="52"/>
  <c r="K38" i="52"/>
  <c r="G38" i="52"/>
  <c r="H38" i="52"/>
  <c r="G37" i="52"/>
  <c r="H37" i="52"/>
  <c r="I37" i="52"/>
  <c r="K37" i="52"/>
  <c r="E58" i="36"/>
  <c r="F36" i="52"/>
  <c r="F37" i="52" l="1"/>
  <c r="F38" i="52"/>
  <c r="E88" i="36"/>
  <c r="E123" i="36"/>
  <c r="H39" i="52"/>
  <c r="I39" i="52"/>
  <c r="G39" i="52"/>
  <c r="K39" i="52"/>
  <c r="G40" i="52"/>
  <c r="I40" i="52"/>
  <c r="K40" i="52"/>
  <c r="H40" i="52"/>
  <c r="E64" i="36"/>
  <c r="E36" i="36"/>
  <c r="F40" i="52" l="1"/>
  <c r="E118" i="36"/>
  <c r="G42" i="52"/>
  <c r="H42" i="52"/>
  <c r="I42" i="52"/>
  <c r="K42" i="52"/>
  <c r="F39" i="52"/>
  <c r="H41" i="52"/>
  <c r="G41" i="52"/>
  <c r="I41" i="52"/>
  <c r="K41" i="52"/>
  <c r="E44" i="53" l="1"/>
  <c r="BA40" i="52"/>
  <c r="H44" i="52"/>
  <c r="I44" i="52"/>
  <c r="G44" i="52"/>
  <c r="K44" i="52"/>
  <c r="F41" i="52"/>
  <c r="G43" i="52"/>
  <c r="I43" i="52"/>
  <c r="H43" i="52"/>
  <c r="K43" i="52"/>
  <c r="F42" i="52"/>
  <c r="E75" i="36"/>
  <c r="F44" i="52" l="1"/>
  <c r="I45" i="52"/>
  <c r="G45" i="52"/>
  <c r="H45" i="52"/>
  <c r="K45" i="52"/>
  <c r="E82" i="36"/>
  <c r="G46" i="52"/>
  <c r="H46" i="52"/>
  <c r="I46" i="52"/>
  <c r="K46" i="52"/>
  <c r="F43" i="52"/>
  <c r="E80" i="36" l="1"/>
  <c r="G48" i="52"/>
  <c r="H48" i="52"/>
  <c r="I48" i="52"/>
  <c r="K48" i="52"/>
  <c r="F46" i="52"/>
  <c r="F45" i="52"/>
  <c r="G47" i="52"/>
  <c r="K47" i="52"/>
  <c r="H47" i="52"/>
  <c r="I47" i="52"/>
  <c r="F47" i="52" l="1"/>
  <c r="G49" i="52"/>
  <c r="H49" i="52"/>
  <c r="I49" i="52"/>
  <c r="K49" i="52"/>
  <c r="I50" i="52"/>
  <c r="G50" i="52"/>
  <c r="H50" i="52"/>
  <c r="K50" i="52"/>
  <c r="F48" i="52"/>
  <c r="I51" i="52" l="1"/>
  <c r="G51" i="52"/>
  <c r="H51" i="52"/>
  <c r="K51" i="52"/>
  <c r="F50" i="52"/>
  <c r="F49" i="52"/>
  <c r="H52" i="52"/>
  <c r="I52" i="52"/>
  <c r="G52" i="52"/>
  <c r="K52" i="52"/>
  <c r="F52" i="52" l="1"/>
  <c r="E99" i="36"/>
  <c r="H54" i="52"/>
  <c r="G54" i="52"/>
  <c r="K54" i="52"/>
  <c r="I54" i="52"/>
  <c r="G53" i="52"/>
  <c r="H53" i="52"/>
  <c r="I53" i="52"/>
  <c r="K53" i="52"/>
  <c r="F51" i="52"/>
  <c r="F54" i="52" l="1"/>
  <c r="G56" i="52"/>
  <c r="H56" i="52"/>
  <c r="I56" i="52"/>
  <c r="K56" i="52"/>
  <c r="I55" i="52"/>
  <c r="K55" i="52"/>
  <c r="G55" i="52"/>
  <c r="H55" i="52"/>
  <c r="F53" i="52"/>
  <c r="G58" i="52" l="1"/>
  <c r="H58" i="52"/>
  <c r="I58" i="52"/>
  <c r="K58" i="52"/>
  <c r="F55" i="52"/>
  <c r="G57" i="52"/>
  <c r="I57" i="52"/>
  <c r="H57" i="52"/>
  <c r="K57" i="52"/>
  <c r="F56" i="52"/>
  <c r="E150" i="36"/>
  <c r="F58" i="52" l="1"/>
  <c r="E136" i="36" s="1"/>
  <c r="E117" i="36"/>
  <c r="H59" i="52"/>
  <c r="G59" i="52"/>
  <c r="I59" i="52"/>
  <c r="K59" i="52"/>
  <c r="G60" i="52"/>
  <c r="H60" i="52"/>
  <c r="I60" i="52"/>
  <c r="K60" i="52"/>
  <c r="F57" i="52"/>
  <c r="G62" i="52" l="1"/>
  <c r="K62" i="52"/>
  <c r="H62" i="52"/>
  <c r="I62" i="52"/>
  <c r="I61" i="52"/>
  <c r="G61" i="52"/>
  <c r="H61" i="52"/>
  <c r="K61" i="52"/>
  <c r="F60" i="52"/>
  <c r="F59" i="52"/>
  <c r="F62" i="52" l="1"/>
  <c r="G63" i="52"/>
  <c r="H63" i="52"/>
  <c r="I63" i="52"/>
  <c r="K63" i="52"/>
  <c r="G64" i="52"/>
  <c r="H64" i="52"/>
  <c r="I64" i="52"/>
  <c r="K64" i="52"/>
  <c r="F61" i="52"/>
  <c r="F63" i="52" l="1"/>
  <c r="F64" i="52"/>
  <c r="G66" i="52"/>
  <c r="H66" i="52"/>
  <c r="I66" i="52"/>
  <c r="K66" i="52"/>
  <c r="I65" i="52"/>
  <c r="H65" i="52"/>
  <c r="G65" i="52"/>
  <c r="K65" i="52"/>
  <c r="E65" i="36"/>
  <c r="G67" i="52" l="1"/>
  <c r="H67" i="52"/>
  <c r="I67" i="52"/>
  <c r="K67" i="52"/>
  <c r="F66" i="52"/>
  <c r="G68" i="52"/>
  <c r="H68" i="52"/>
  <c r="I68" i="52"/>
  <c r="K68" i="52"/>
  <c r="F65" i="52"/>
  <c r="F67" i="52" l="1"/>
  <c r="F68" i="52"/>
  <c r="G69" i="52"/>
  <c r="H69" i="52"/>
  <c r="I69" i="52"/>
  <c r="K69" i="52"/>
  <c r="H70" i="52"/>
  <c r="I70" i="52"/>
  <c r="K70" i="52"/>
  <c r="G70" i="52"/>
  <c r="F70" i="52" l="1"/>
  <c r="H71" i="52"/>
  <c r="I71" i="52"/>
  <c r="G71" i="52"/>
  <c r="K71" i="52"/>
  <c r="F69" i="52"/>
  <c r="H72" i="52"/>
  <c r="K72" i="52"/>
  <c r="G72" i="52"/>
  <c r="I72" i="52"/>
  <c r="F72" i="52" l="1"/>
  <c r="I73" i="52"/>
  <c r="G73" i="52"/>
  <c r="H73" i="52"/>
  <c r="K73" i="52"/>
  <c r="G74" i="52"/>
  <c r="H74" i="52"/>
  <c r="I74" i="52"/>
  <c r="K74" i="52"/>
  <c r="F71" i="52"/>
  <c r="F73" i="52" l="1"/>
  <c r="BA42" i="52"/>
  <c r="E34" i="53"/>
  <c r="F74" i="52"/>
  <c r="G76" i="52"/>
  <c r="H76" i="52"/>
  <c r="I76" i="52"/>
  <c r="K76" i="52"/>
  <c r="G75" i="52"/>
  <c r="H75" i="52"/>
  <c r="I75" i="52"/>
  <c r="K75" i="52"/>
  <c r="E41" i="53" l="1"/>
  <c r="BA44" i="52"/>
  <c r="H77" i="52"/>
  <c r="I77" i="52"/>
  <c r="G77" i="52"/>
  <c r="K77" i="52"/>
  <c r="F76" i="52"/>
  <c r="G78" i="52"/>
  <c r="H78" i="52"/>
  <c r="I78" i="52"/>
  <c r="K78" i="52"/>
  <c r="F75" i="52"/>
  <c r="G79" i="52" l="1"/>
  <c r="I79" i="52"/>
  <c r="K79" i="52"/>
  <c r="H79" i="52"/>
  <c r="F78" i="52"/>
  <c r="K80" i="52"/>
  <c r="G80" i="52"/>
  <c r="H80" i="52"/>
  <c r="I80" i="52"/>
  <c r="F77" i="52"/>
  <c r="E39" i="53"/>
  <c r="BA36" i="52"/>
  <c r="F80" i="52" l="1"/>
  <c r="F79" i="52"/>
  <c r="G81" i="52"/>
  <c r="H81" i="52"/>
  <c r="I81" i="52"/>
  <c r="K81" i="52"/>
  <c r="G82" i="52"/>
  <c r="H82" i="52"/>
  <c r="I82" i="52"/>
  <c r="K82" i="52"/>
  <c r="F81" i="52" l="1"/>
  <c r="H84" i="52"/>
  <c r="I84" i="52"/>
  <c r="K84" i="52"/>
  <c r="G84" i="52"/>
  <c r="F82" i="52"/>
  <c r="G83" i="52"/>
  <c r="H83" i="52"/>
  <c r="I83" i="52"/>
  <c r="K83" i="52"/>
  <c r="G86" i="52" l="1"/>
  <c r="K86" i="52"/>
  <c r="H86" i="52"/>
  <c r="I86" i="52"/>
  <c r="G85" i="52"/>
  <c r="H85" i="52"/>
  <c r="I85" i="52"/>
  <c r="K85" i="52"/>
  <c r="E35" i="53"/>
  <c r="BA39" i="52"/>
  <c r="F84" i="52"/>
  <c r="F83" i="52"/>
  <c r="F86" i="52" l="1"/>
  <c r="F85" i="52"/>
  <c r="G88" i="52"/>
  <c r="K88" i="52"/>
  <c r="H88" i="52"/>
  <c r="I88" i="52"/>
  <c r="E145" i="36"/>
  <c r="I87" i="52"/>
  <c r="K87" i="52"/>
  <c r="G87" i="52"/>
  <c r="H87" i="52"/>
  <c r="E115" i="36"/>
  <c r="H90" i="52" l="1"/>
  <c r="I90" i="52"/>
  <c r="G90" i="52"/>
  <c r="K90" i="52"/>
  <c r="E110" i="36"/>
  <c r="F87" i="52"/>
  <c r="G89" i="52"/>
  <c r="H89" i="52"/>
  <c r="I89" i="52"/>
  <c r="K89" i="52"/>
  <c r="F88" i="52"/>
  <c r="F90" i="52" l="1"/>
  <c r="G91" i="52"/>
  <c r="I91" i="52"/>
  <c r="H91" i="52"/>
  <c r="K91" i="52"/>
  <c r="E86" i="36"/>
  <c r="E78" i="36"/>
  <c r="BA37" i="52"/>
  <c r="E37" i="53"/>
  <c r="F89" i="52"/>
  <c r="G92" i="52"/>
  <c r="H92" i="52"/>
  <c r="I92" i="52"/>
  <c r="K92" i="52"/>
  <c r="F91" i="52" l="1"/>
  <c r="E122" i="36"/>
  <c r="BA43" i="52"/>
  <c r="E43" i="53"/>
  <c r="F92" i="52"/>
  <c r="H94" i="52"/>
  <c r="I94" i="52"/>
  <c r="G94" i="52"/>
  <c r="K94" i="52"/>
  <c r="E106" i="36"/>
  <c r="G93" i="52"/>
  <c r="H93" i="52"/>
  <c r="I93" i="52"/>
  <c r="K93" i="52"/>
  <c r="G95" i="52" l="1"/>
  <c r="I95" i="52"/>
  <c r="K95" i="52"/>
  <c r="H95" i="52"/>
  <c r="G96" i="52"/>
  <c r="K96" i="52"/>
  <c r="H96" i="52"/>
  <c r="I96" i="52"/>
  <c r="F93" i="52"/>
  <c r="F94" i="52"/>
  <c r="E57" i="36" l="1"/>
  <c r="G98" i="52"/>
  <c r="H98" i="52"/>
  <c r="I98" i="52"/>
  <c r="K98" i="52"/>
  <c r="E161" i="36"/>
  <c r="I97" i="52"/>
  <c r="G97" i="52"/>
  <c r="K97" i="52"/>
  <c r="H97" i="52"/>
  <c r="F95" i="52"/>
  <c r="F96" i="52"/>
  <c r="F98" i="52" l="1"/>
  <c r="E102" i="36"/>
  <c r="G100" i="52"/>
  <c r="I100" i="52"/>
  <c r="H100" i="52"/>
  <c r="K100" i="52"/>
  <c r="F97" i="52"/>
  <c r="H99" i="52"/>
  <c r="I99" i="52"/>
  <c r="G99" i="52"/>
  <c r="K99" i="52"/>
  <c r="E163" i="36"/>
  <c r="E104" i="36"/>
  <c r="H102" i="52" l="1"/>
  <c r="I102" i="52"/>
  <c r="G102" i="52"/>
  <c r="K102" i="52"/>
  <c r="G101" i="52"/>
  <c r="I101" i="52"/>
  <c r="H101" i="52"/>
  <c r="K101" i="52"/>
  <c r="F100" i="52"/>
  <c r="F99" i="52"/>
  <c r="F102" i="52" l="1"/>
  <c r="F101" i="52"/>
  <c r="G103" i="52"/>
  <c r="I103" i="52"/>
  <c r="H103" i="52"/>
  <c r="K103" i="52"/>
  <c r="G104" i="52"/>
  <c r="H104" i="52"/>
  <c r="I104" i="52"/>
  <c r="K108" i="52"/>
  <c r="K104" i="52"/>
  <c r="E159" i="36"/>
  <c r="BA41" i="52"/>
  <c r="E40" i="53"/>
  <c r="I106" i="52" l="1"/>
  <c r="H106" i="52"/>
  <c r="G106" i="52"/>
  <c r="K106" i="52"/>
  <c r="F103" i="52"/>
  <c r="G105" i="52"/>
  <c r="H105" i="52"/>
  <c r="I105" i="52"/>
  <c r="K105" i="52"/>
  <c r="F104" i="52"/>
  <c r="BA35" i="52"/>
  <c r="E38" i="53"/>
  <c r="F106" i="52" l="1"/>
  <c r="E169" i="36"/>
  <c r="H107" i="52"/>
  <c r="I107" i="52"/>
  <c r="G107" i="52"/>
  <c r="K107" i="52"/>
  <c r="F105" i="52"/>
  <c r="E127" i="36"/>
  <c r="E33" i="53"/>
  <c r="BA34" i="52"/>
  <c r="E138" i="36"/>
  <c r="E36" i="53"/>
  <c r="BA45" i="52"/>
  <c r="F107" i="52" l="1"/>
  <c r="C92" i="52"/>
  <c r="B92" i="52" s="1"/>
  <c r="J107" i="52"/>
  <c r="J92" i="52"/>
  <c r="J91" i="52"/>
  <c r="J100" i="52"/>
  <c r="J86" i="52"/>
  <c r="J96" i="52"/>
  <c r="J94" i="52"/>
  <c r="J77" i="52"/>
  <c r="J87" i="52"/>
  <c r="J93" i="52"/>
  <c r="J73" i="52"/>
  <c r="J72" i="52"/>
  <c r="J63" i="52"/>
  <c r="J84" i="52"/>
  <c r="J62" i="52"/>
  <c r="J70" i="52"/>
  <c r="J90" i="52"/>
  <c r="J60" i="52"/>
  <c r="J68" i="52"/>
  <c r="J88" i="52"/>
  <c r="J21" i="52"/>
  <c r="J81" i="52"/>
  <c r="J43" i="52"/>
  <c r="J15" i="52"/>
  <c r="J97" i="52"/>
  <c r="J66" i="52"/>
  <c r="J18" i="52"/>
  <c r="J106" i="52"/>
  <c r="J58" i="52"/>
  <c r="J104" i="52"/>
  <c r="J29" i="52"/>
  <c r="J99" i="52"/>
  <c r="J55" i="52"/>
  <c r="J24" i="52"/>
  <c r="J8" i="52"/>
  <c r="J78" i="52"/>
  <c r="J26" i="52"/>
  <c r="J101" i="52"/>
  <c r="J102" i="52"/>
  <c r="J16" i="52"/>
  <c r="C103" i="52"/>
  <c r="B103" i="52" s="1"/>
  <c r="J37" i="52"/>
  <c r="J80" i="52"/>
  <c r="J61" i="52"/>
  <c r="J28" i="52"/>
  <c r="J19" i="52"/>
  <c r="J79" i="52"/>
  <c r="J35" i="52"/>
  <c r="J12" i="52"/>
  <c r="J9" i="52"/>
  <c r="J22" i="52"/>
  <c r="J45" i="52"/>
  <c r="J108" i="52"/>
  <c r="J69" i="52"/>
  <c r="J38" i="52"/>
  <c r="J23" i="52"/>
  <c r="J83" i="52"/>
  <c r="J41" i="52"/>
  <c r="J11" i="52"/>
  <c r="J20" i="52"/>
  <c r="J25" i="52"/>
  <c r="J53" i="52"/>
  <c r="J13" i="52"/>
  <c r="J85" i="52"/>
  <c r="J48" i="52"/>
  <c r="J31" i="52"/>
  <c r="J74" i="52"/>
  <c r="J47" i="52"/>
  <c r="J27" i="52"/>
  <c r="J30" i="52"/>
  <c r="J36" i="52"/>
  <c r="J59" i="52"/>
  <c r="J17" i="52"/>
  <c r="J75" i="52"/>
  <c r="J54" i="52"/>
  <c r="J40" i="52"/>
  <c r="J89" i="52"/>
  <c r="J56" i="52"/>
  <c r="J34" i="52"/>
  <c r="J33" i="52"/>
  <c r="J44" i="52"/>
  <c r="J103" i="52"/>
  <c r="J67" i="52"/>
  <c r="J32" i="52"/>
  <c r="J105" i="52"/>
  <c r="J65" i="52"/>
  <c r="J51" i="52"/>
  <c r="J98" i="52"/>
  <c r="J64" i="52"/>
  <c r="J46" i="52"/>
  <c r="J39" i="52"/>
  <c r="J52" i="52"/>
  <c r="C100" i="52"/>
  <c r="B100" i="52" s="1"/>
  <c r="C104" i="52"/>
  <c r="B104" i="52" s="1"/>
  <c r="J14" i="52"/>
  <c r="J76" i="52"/>
  <c r="J42" i="52"/>
  <c r="J7" i="52"/>
  <c r="J71" i="52"/>
  <c r="J57" i="52"/>
  <c r="J10" i="52"/>
  <c r="J82" i="52"/>
  <c r="J50" i="52"/>
  <c r="J49" i="52"/>
  <c r="J95" i="52"/>
  <c r="C89" i="52"/>
  <c r="B89" i="52" s="1"/>
  <c r="BA38" i="52"/>
  <c r="AX38" i="52" s="1"/>
  <c r="E42" i="53"/>
  <c r="B42" i="53" s="1"/>
  <c r="C107" i="52"/>
  <c r="B107" i="52" s="1"/>
  <c r="E142" i="36"/>
  <c r="C11" i="52"/>
  <c r="B11" i="52" s="1"/>
  <c r="C7" i="52"/>
  <c r="C9" i="52"/>
  <c r="B9" i="52" s="1"/>
  <c r="C12" i="52"/>
  <c r="B12" i="52" s="1"/>
  <c r="C8" i="52"/>
  <c r="B8" i="52" s="1"/>
  <c r="C10" i="52"/>
  <c r="B10" i="52" s="1"/>
  <c r="C13" i="52"/>
  <c r="B13" i="52" s="1"/>
  <c r="C18" i="52"/>
  <c r="B18" i="52" s="1"/>
  <c r="C14" i="52"/>
  <c r="B14" i="52" s="1"/>
  <c r="C15" i="52"/>
  <c r="B15" i="52" s="1"/>
  <c r="C19" i="52"/>
  <c r="B19" i="52" s="1"/>
  <c r="C17" i="52"/>
  <c r="B17" i="52" s="1"/>
  <c r="C16" i="52"/>
  <c r="B16" i="52" s="1"/>
  <c r="C20" i="52"/>
  <c r="B20" i="52" s="1"/>
  <c r="C25" i="52"/>
  <c r="B25" i="52" s="1"/>
  <c r="C24" i="52"/>
  <c r="B24" i="52" s="1"/>
  <c r="C21" i="52"/>
  <c r="B21" i="52" s="1"/>
  <c r="C23" i="52"/>
  <c r="B23" i="52" s="1"/>
  <c r="C22" i="52"/>
  <c r="B22" i="52" s="1"/>
  <c r="C26" i="52"/>
  <c r="B26" i="52" s="1"/>
  <c r="C30" i="52"/>
  <c r="B30" i="52" s="1"/>
  <c r="C27" i="52"/>
  <c r="B27" i="52" s="1"/>
  <c r="C28" i="52"/>
  <c r="B28" i="52" s="1"/>
  <c r="C29" i="52"/>
  <c r="B29" i="52" s="1"/>
  <c r="C34" i="52"/>
  <c r="B34" i="52" s="1"/>
  <c r="C31" i="52"/>
  <c r="B31" i="52" s="1"/>
  <c r="C32" i="52"/>
  <c r="B32" i="52" s="1"/>
  <c r="C33" i="52"/>
  <c r="B33" i="52" s="1"/>
  <c r="C35" i="52"/>
  <c r="B35" i="52" s="1"/>
  <c r="C36" i="52"/>
  <c r="B36" i="52" s="1"/>
  <c r="C39" i="52"/>
  <c r="B39" i="52" s="1"/>
  <c r="C37" i="52"/>
  <c r="B37" i="52" s="1"/>
  <c r="C41" i="52"/>
  <c r="B41" i="52" s="1"/>
  <c r="C38" i="52"/>
  <c r="B38" i="52" s="1"/>
  <c r="C40" i="52"/>
  <c r="B40" i="52" s="1"/>
  <c r="C44" i="52"/>
  <c r="B44" i="52" s="1"/>
  <c r="C42" i="52"/>
  <c r="B42" i="52" s="1"/>
  <c r="C43" i="52"/>
  <c r="B43" i="52" s="1"/>
  <c r="C47" i="52"/>
  <c r="B47" i="52" s="1"/>
  <c r="C46" i="52"/>
  <c r="B46" i="52" s="1"/>
  <c r="C45" i="52"/>
  <c r="B45" i="52" s="1"/>
  <c r="C53" i="52"/>
  <c r="B53" i="52" s="1"/>
  <c r="C48" i="52"/>
  <c r="B48" i="52" s="1"/>
  <c r="C52" i="52"/>
  <c r="B52" i="52" s="1"/>
  <c r="C50" i="52"/>
  <c r="B50" i="52" s="1"/>
  <c r="C56" i="52"/>
  <c r="B56" i="52" s="1"/>
  <c r="C49" i="52"/>
  <c r="B49" i="52" s="1"/>
  <c r="C55" i="52"/>
  <c r="B55" i="52" s="1"/>
  <c r="C51" i="52"/>
  <c r="B51" i="52" s="1"/>
  <c r="C54" i="52"/>
  <c r="B54" i="52" s="1"/>
  <c r="C57" i="52"/>
  <c r="B57" i="52" s="1"/>
  <c r="C58" i="52"/>
  <c r="B58" i="52" s="1"/>
  <c r="C60" i="52"/>
  <c r="B60" i="52" s="1"/>
  <c r="C70" i="52"/>
  <c r="B70" i="52" s="1"/>
  <c r="C62" i="52"/>
  <c r="B62" i="52" s="1"/>
  <c r="C59" i="52"/>
  <c r="B59" i="52" s="1"/>
  <c r="C68" i="52"/>
  <c r="B68" i="52" s="1"/>
  <c r="C63" i="52"/>
  <c r="B63" i="52" s="1"/>
  <c r="C67" i="52"/>
  <c r="B67" i="52" s="1"/>
  <c r="C64" i="52"/>
  <c r="B64" i="52" s="1"/>
  <c r="C61" i="52"/>
  <c r="B61" i="52" s="1"/>
  <c r="C66" i="52"/>
  <c r="B66" i="52" s="1"/>
  <c r="C69" i="52"/>
  <c r="B69" i="52" s="1"/>
  <c r="C65" i="52"/>
  <c r="B65" i="52" s="1"/>
  <c r="C74" i="52"/>
  <c r="B74" i="52" s="1"/>
  <c r="C72" i="52"/>
  <c r="B72" i="52" s="1"/>
  <c r="C73" i="52"/>
  <c r="B73" i="52" s="1"/>
  <c r="C71" i="52"/>
  <c r="B71" i="52" s="1"/>
  <c r="C78" i="52"/>
  <c r="B78" i="52" s="1"/>
  <c r="C79" i="52"/>
  <c r="B79" i="52" s="1"/>
  <c r="C75" i="52"/>
  <c r="B75" i="52" s="1"/>
  <c r="C76" i="52"/>
  <c r="B76" i="52" s="1"/>
  <c r="C77" i="52"/>
  <c r="B77" i="52" s="1"/>
  <c r="C80" i="52"/>
  <c r="B80" i="52" s="1"/>
  <c r="C82" i="52"/>
  <c r="B82" i="52" s="1"/>
  <c r="C81" i="52"/>
  <c r="B81" i="52" s="1"/>
  <c r="C88" i="52"/>
  <c r="B88" i="52" s="1"/>
  <c r="C83" i="52"/>
  <c r="B83" i="52" s="1"/>
  <c r="C86" i="52"/>
  <c r="B86" i="52" s="1"/>
  <c r="C87" i="52"/>
  <c r="B87" i="52" s="1"/>
  <c r="C85" i="52"/>
  <c r="B85" i="52" s="1"/>
  <c r="C84" i="52"/>
  <c r="B84" i="52" s="1"/>
  <c r="C90" i="52"/>
  <c r="B90" i="52" s="1"/>
  <c r="C91" i="52"/>
  <c r="B91" i="52" s="1"/>
  <c r="C94" i="52"/>
  <c r="B94" i="52" s="1"/>
  <c r="C105" i="52"/>
  <c r="B105" i="52" s="1"/>
  <c r="C101" i="52"/>
  <c r="B101" i="52" s="1"/>
  <c r="C97" i="52"/>
  <c r="B97" i="52" s="1"/>
  <c r="C93" i="52"/>
  <c r="B93" i="52" s="1"/>
  <c r="C106" i="52"/>
  <c r="B106" i="52" s="1"/>
  <c r="C96" i="52" l="1"/>
  <c r="B96" i="52" s="1"/>
  <c r="C108" i="52"/>
  <c r="B108" i="52" s="1"/>
  <c r="C98" i="52"/>
  <c r="B98" i="52" s="1"/>
  <c r="C99" i="52"/>
  <c r="B99" i="52" s="1"/>
  <c r="C102" i="52"/>
  <c r="B102" i="52" s="1"/>
  <c r="C95" i="52"/>
  <c r="B95" i="52" s="1"/>
  <c r="AX45" i="52"/>
  <c r="AX37" i="52"/>
  <c r="B33" i="53"/>
  <c r="AX44" i="52"/>
  <c r="B43" i="53"/>
  <c r="AX42" i="52"/>
  <c r="B7" i="52"/>
  <c r="B34" i="53"/>
  <c r="AX39" i="52"/>
  <c r="B40" i="53"/>
  <c r="B37" i="53"/>
  <c r="AX40" i="52"/>
  <c r="B35" i="53"/>
  <c r="AX34" i="52"/>
  <c r="B36" i="53"/>
  <c r="AX41" i="52"/>
  <c r="B39" i="53"/>
  <c r="AX43" i="52"/>
  <c r="B41" i="53"/>
  <c r="B38" i="53"/>
  <c r="B44" i="53"/>
  <c r="AX36" i="52"/>
  <c r="AX35" i="52"/>
  <c r="D7" i="36" l="1"/>
  <c r="D11" i="36"/>
  <c r="D21" i="36"/>
</calcChain>
</file>

<file path=xl/sharedStrings.xml><?xml version="1.0" encoding="utf-8"?>
<sst xmlns="http://schemas.openxmlformats.org/spreadsheetml/2006/main" count="1789" uniqueCount="661">
  <si>
    <t>Bern</t>
  </si>
  <si>
    <t>TS</t>
  </si>
  <si>
    <t>MA</t>
  </si>
  <si>
    <t>Club Ranking</t>
  </si>
  <si>
    <t>Club</t>
  </si>
  <si>
    <t>Rang</t>
  </si>
  <si>
    <t>Punkte</t>
  </si>
  <si>
    <t>St. Gallen</t>
  </si>
  <si>
    <t>Luzern</t>
  </si>
  <si>
    <t>Messen</t>
  </si>
  <si>
    <t>Zürich</t>
  </si>
  <si>
    <t>Ohne Club</t>
  </si>
  <si>
    <t>Lausanne</t>
  </si>
  <si>
    <t>Basel</t>
  </si>
  <si>
    <t>Pontresina</t>
  </si>
  <si>
    <t>Mixed</t>
  </si>
  <si>
    <t>Schaffhausen</t>
  </si>
  <si>
    <t>Neuenhof</t>
  </si>
  <si>
    <t>International</t>
  </si>
  <si>
    <t>Carlo Engel</t>
  </si>
  <si>
    <t>Luc Moor</t>
  </si>
  <si>
    <t>Ramon Felix</t>
  </si>
  <si>
    <t>Merlin Baumeler</t>
  </si>
  <si>
    <t>David Howald</t>
  </si>
  <si>
    <t>Stefan Müller</t>
  </si>
  <si>
    <t>Rouven Felix</t>
  </si>
  <si>
    <t>Carole Gassner</t>
  </si>
  <si>
    <t>Hannah Meier</t>
  </si>
  <si>
    <t>Svenja Kunz</t>
  </si>
  <si>
    <t>Anz. Spielerinnen</t>
  </si>
  <si>
    <t>Anz. Spieler</t>
  </si>
  <si>
    <t>Abkürzungsverzeichnis</t>
  </si>
  <si>
    <t>Masters</t>
  </si>
  <si>
    <t>Tour Stop</t>
  </si>
  <si>
    <t>Ranking Swiss Roundnet - Übersicht</t>
  </si>
  <si>
    <t>Spieler</t>
  </si>
  <si>
    <t>Spielerin</t>
  </si>
  <si>
    <t>M</t>
  </si>
  <si>
    <t>Nora Kunz</t>
  </si>
  <si>
    <t>Julia Kunz</t>
  </si>
  <si>
    <t>Eva Lang</t>
  </si>
  <si>
    <t>Flavia Rinert</t>
  </si>
  <si>
    <t>Annina Wachter</t>
  </si>
  <si>
    <t>Noemi Matzner</t>
  </si>
  <si>
    <t>Chiara Németh</t>
  </si>
  <si>
    <t>Lisa Fruet</t>
  </si>
  <si>
    <t>Deborah Fritzsche</t>
  </si>
  <si>
    <t>Janine Aregger</t>
  </si>
  <si>
    <t>Jasmin Iseli</t>
  </si>
  <si>
    <t>DNF</t>
  </si>
  <si>
    <t>Jonas Eigenmann</t>
  </si>
  <si>
    <t>Eric Thalmann</t>
  </si>
  <si>
    <t>Daniel Loosli</t>
  </si>
  <si>
    <t>Raul Terradillos</t>
  </si>
  <si>
    <t>Andreas Näf</t>
  </si>
  <si>
    <t>Maciek Malczyk</t>
  </si>
  <si>
    <t>Federico Sosa Ivaldi</t>
  </si>
  <si>
    <t>Marco Spielmann</t>
  </si>
  <si>
    <t>Martin Iseli</t>
  </si>
  <si>
    <t>Linus Bürgi</t>
  </si>
  <si>
    <t>Raphael Schibli</t>
  </si>
  <si>
    <t>Yannick Schibli</t>
  </si>
  <si>
    <t>Sven Schneider</t>
  </si>
  <si>
    <t>Olivier Knüsel</t>
  </si>
  <si>
    <t>Simon Huber</t>
  </si>
  <si>
    <t>Claudio Fisch</t>
  </si>
  <si>
    <t>Fabian Rahm</t>
  </si>
  <si>
    <t>Julian Stropp</t>
  </si>
  <si>
    <t>Lukas Metzger</t>
  </si>
  <si>
    <t>Davide Rizzo</t>
  </si>
  <si>
    <t>Remo Vifian</t>
  </si>
  <si>
    <t>Reto Mäder</t>
  </si>
  <si>
    <t>Silvan Korner</t>
  </si>
  <si>
    <t>Timo Felder</t>
  </si>
  <si>
    <t>Robin Bosshard</t>
  </si>
  <si>
    <t>Valentin Bosshard</t>
  </si>
  <si>
    <t>Franco Müller</t>
  </si>
  <si>
    <t>Jonas Augsburger</t>
  </si>
  <si>
    <t>Roman Peter</t>
  </si>
  <si>
    <t>Benjamin Kahler</t>
  </si>
  <si>
    <t>Melchior Steimen</t>
  </si>
  <si>
    <t>Timo Baumeler</t>
  </si>
  <si>
    <t>Jean-Claude Julier</t>
  </si>
  <si>
    <t>Dimitri Kuhn</t>
  </si>
  <si>
    <t>Ueli Steimen</t>
  </si>
  <si>
    <t>Luc Gurtner</t>
  </si>
  <si>
    <t>Tobias Trusch</t>
  </si>
  <si>
    <t>Marcel Niederberger</t>
  </si>
  <si>
    <t>Robin Berli</t>
  </si>
  <si>
    <t>Joris Schweiger</t>
  </si>
  <si>
    <t>Luca Jadanza</t>
  </si>
  <si>
    <t>Simon Spinnler</t>
  </si>
  <si>
    <t>Lars Franzelli</t>
  </si>
  <si>
    <t>Basil Bosshard</t>
  </si>
  <si>
    <t>Yannick Schluep</t>
  </si>
  <si>
    <t>Robin Scheidegger</t>
  </si>
  <si>
    <t>Daniel Gossen</t>
  </si>
  <si>
    <t>Matthias Früh</t>
  </si>
  <si>
    <t>Benno Kuhn</t>
  </si>
  <si>
    <t>Aaron Steffen</t>
  </si>
  <si>
    <t>David Bugliani</t>
  </si>
  <si>
    <t>Tobias Arnitz</t>
  </si>
  <si>
    <t>Pascal De Kegel</t>
  </si>
  <si>
    <t>Alexander Zebisch</t>
  </si>
  <si>
    <t>BA</t>
  </si>
  <si>
    <t>BE</t>
  </si>
  <si>
    <t>LU</t>
  </si>
  <si>
    <t>ZH</t>
  </si>
  <si>
    <t>LA</t>
  </si>
  <si>
    <t>ME</t>
  </si>
  <si>
    <t>PO</t>
  </si>
  <si>
    <t>SM</t>
  </si>
  <si>
    <t>Schweizer Meisterschaft</t>
  </si>
  <si>
    <t>O</t>
  </si>
  <si>
    <t>Open</t>
  </si>
  <si>
    <t xml:space="preserve">W </t>
  </si>
  <si>
    <t>Women</t>
  </si>
  <si>
    <t>Men</t>
  </si>
  <si>
    <t>Mi</t>
  </si>
  <si>
    <t>SG</t>
  </si>
  <si>
    <t>NH</t>
  </si>
  <si>
    <t>SH</t>
  </si>
  <si>
    <t>Int.</t>
  </si>
  <si>
    <t>Turnier nicht beendet</t>
  </si>
  <si>
    <t>Isabel Büchelin</t>
  </si>
  <si>
    <t>Laura Bugliani</t>
  </si>
  <si>
    <t>Manuela Rebelo</t>
  </si>
  <si>
    <t>Yvan Kalbermatten</t>
  </si>
  <si>
    <t>Luc Bürki</t>
  </si>
  <si>
    <t>Nicolas Thalmann</t>
  </si>
  <si>
    <t>Adrian Loosli</t>
  </si>
  <si>
    <t>Fabian Bai</t>
  </si>
  <si>
    <t>Nicolas Perriraz</t>
  </si>
  <si>
    <t>Andri Soliva</t>
  </si>
  <si>
    <t>Eric Wiese</t>
  </si>
  <si>
    <t>Jérôme Egger</t>
  </si>
  <si>
    <t>Patrick Thommen</t>
  </si>
  <si>
    <t>Tobias Rebmann</t>
  </si>
  <si>
    <t>Martin Brüllhardt</t>
  </si>
  <si>
    <t>Fikru Tiruneh</t>
  </si>
  <si>
    <t>Felix Engel</t>
  </si>
  <si>
    <t>Gian Michael</t>
  </si>
  <si>
    <t>Nicolas Tognini</t>
  </si>
  <si>
    <t>Benedikt Gruntz</t>
  </si>
  <si>
    <t>Nico Cavallini</t>
  </si>
  <si>
    <t>Joris Vautier</t>
  </si>
  <si>
    <t>Stéphane Vuilleumier</t>
  </si>
  <si>
    <t>Valentin Schürch</t>
  </si>
  <si>
    <t>Lukas Böhler</t>
  </si>
  <si>
    <t>Patrick Javet</t>
  </si>
  <si>
    <t>Kevin Benz</t>
  </si>
  <si>
    <t>Marvin Lohner</t>
  </si>
  <si>
    <t>Armin Windlin</t>
  </si>
  <si>
    <t>Leon Nachtrab</t>
  </si>
  <si>
    <t>Laura Kunzelmann</t>
  </si>
  <si>
    <t>Levke Walczak</t>
  </si>
  <si>
    <t>Fanny Morax</t>
  </si>
  <si>
    <t>Julie Maneint</t>
  </si>
  <si>
    <t>Anna Lea Schindler</t>
  </si>
  <si>
    <t>Laura Tschenett</t>
  </si>
  <si>
    <t>Vivienne Nenz</t>
  </si>
  <si>
    <t>Alena Fritzsche</t>
  </si>
  <si>
    <t>Julia Leutert</t>
  </si>
  <si>
    <t>Laurence Sottas</t>
  </si>
  <si>
    <t>Nives Haymoz</t>
  </si>
  <si>
    <t>Lisa Schiegg</t>
  </si>
  <si>
    <t>Tosca Pecorino</t>
  </si>
  <si>
    <t>Sina Kunz</t>
  </si>
  <si>
    <t>David Neyer</t>
  </si>
  <si>
    <t>Nicolas Fürer</t>
  </si>
  <si>
    <t>Laurin Staub</t>
  </si>
  <si>
    <t>Adrian Schaad</t>
  </si>
  <si>
    <t>Ramon Müller</t>
  </si>
  <si>
    <t>Olivier Knüssel</t>
  </si>
  <si>
    <t>Michel Gurtner</t>
  </si>
  <si>
    <t>David Regenass</t>
  </si>
  <si>
    <t>Samuel Regenass</t>
  </si>
  <si>
    <t>Dominic Frank</t>
  </si>
  <si>
    <t>Lucas Berger</t>
  </si>
  <si>
    <t>Tomi Isenschmid</t>
  </si>
  <si>
    <t>Nico Boss</t>
  </si>
  <si>
    <t>Cédric Widin</t>
  </si>
  <si>
    <t>Samuel Kohler</t>
  </si>
  <si>
    <t>Florian Recher</t>
  </si>
  <si>
    <t>Elias Ramstein</t>
  </si>
  <si>
    <t>Elias Bieri</t>
  </si>
  <si>
    <t>Gian-Luca Cavelti</t>
  </si>
  <si>
    <t>Fadri Campell</t>
  </si>
  <si>
    <t>Leny Curty</t>
  </si>
  <si>
    <t>Micha Felix</t>
  </si>
  <si>
    <t>Emanuel Rimle</t>
  </si>
  <si>
    <t>Tamian Liechti</t>
  </si>
  <si>
    <t>Damien Junot</t>
  </si>
  <si>
    <t>Luca Himmelheber</t>
  </si>
  <si>
    <t>Thilo Vorherr</t>
  </si>
  <si>
    <t>Ronny Abt</t>
  </si>
  <si>
    <t>Freya Levie</t>
  </si>
  <si>
    <t>Lorena Ottiger</t>
  </si>
  <si>
    <t>Sina Reimann</t>
  </si>
  <si>
    <t>Livia Oechslin</t>
  </si>
  <si>
    <t>Sabrina Hochuli</t>
  </si>
  <si>
    <t>Nicola Campagnolo</t>
  </si>
  <si>
    <t>Svenja Hofer</t>
  </si>
  <si>
    <t>Noémie Bürgin</t>
  </si>
  <si>
    <t>Zoe Iosabel Wetzel</t>
  </si>
  <si>
    <t>Marielle Stier</t>
  </si>
  <si>
    <t>Bern &amp; Zürich</t>
  </si>
  <si>
    <t>Infos zum Ranking</t>
  </si>
  <si>
    <t>Yannik Ezekwu</t>
  </si>
  <si>
    <t>Christoph Niederberger</t>
  </si>
  <si>
    <t>Robin Zmoos</t>
  </si>
  <si>
    <t>Noah Benz</t>
  </si>
  <si>
    <t>Nils Müller</t>
  </si>
  <si>
    <t>Fabian Fuchs</t>
  </si>
  <si>
    <t>Reto Egloff</t>
  </si>
  <si>
    <t>Tim Becker</t>
  </si>
  <si>
    <t>Manuel Jeck</t>
  </si>
  <si>
    <t>Philip Neff</t>
  </si>
  <si>
    <t>Kim Gayk</t>
  </si>
  <si>
    <t>Korab Shkodra</t>
  </si>
  <si>
    <t>Ramona Caiazza</t>
  </si>
  <si>
    <t>Eva Schnarwyler</t>
  </si>
  <si>
    <t>Sina Conrad</t>
  </si>
  <si>
    <t>Sandra Schulz</t>
  </si>
  <si>
    <t>Franziska Gurschler</t>
  </si>
  <si>
    <t>Alea Christen</t>
  </si>
  <si>
    <t>Cécile Walder</t>
  </si>
  <si>
    <t>Aline Heuberger</t>
  </si>
  <si>
    <t>Livia Schüpbach</t>
  </si>
  <si>
    <t>Barbara Zihlmann</t>
  </si>
  <si>
    <t>Nina Engel</t>
  </si>
  <si>
    <t>Pontresina &amp; Bern</t>
  </si>
  <si>
    <t>Serafin Rieser</t>
  </si>
  <si>
    <t xml:space="preserve">Robin Morax </t>
  </si>
  <si>
    <t>David Stettler</t>
  </si>
  <si>
    <t>Antoine Roecker</t>
  </si>
  <si>
    <t>Timo Manhart</t>
  </si>
  <si>
    <t>Jonas Tarnutzer</t>
  </si>
  <si>
    <t>Nicolas Moor</t>
  </si>
  <si>
    <t>Tim Vogler</t>
  </si>
  <si>
    <t>Serafin Schneider</t>
  </si>
  <si>
    <t>Corsin Obrist</t>
  </si>
  <si>
    <t>Gabriel Ganz</t>
  </si>
  <si>
    <t>Fabian Osterwalder</t>
  </si>
  <si>
    <t>Danilo Keller</t>
  </si>
  <si>
    <t>Samuel Almeida</t>
  </si>
  <si>
    <t>Michael Wieland</t>
  </si>
  <si>
    <t>Linus Fähndrich</t>
  </si>
  <si>
    <t>Fabio Bless</t>
  </si>
  <si>
    <t>Rahulan Sivalingam</t>
  </si>
  <si>
    <t>Nicolas Lips</t>
  </si>
  <si>
    <t>Josa Keller</t>
  </si>
  <si>
    <t>Cédéric Rohrbach</t>
  </si>
  <si>
    <t>Fabio Suremann</t>
  </si>
  <si>
    <t>Sandro Inhelder</t>
  </si>
  <si>
    <t>Nino Leder</t>
  </si>
  <si>
    <t>Jan Egloff</t>
  </si>
  <si>
    <t>Reto Wälti</t>
  </si>
  <si>
    <t>David John</t>
  </si>
  <si>
    <t>Cédric Werner</t>
  </si>
  <si>
    <t>Noah Kissling</t>
  </si>
  <si>
    <t>Nicolás Trujiens</t>
  </si>
  <si>
    <t>Shane Hegarty</t>
  </si>
  <si>
    <t>Gian Marco Putzi</t>
  </si>
  <si>
    <t xml:space="preserve">Dumeng Clavuot </t>
  </si>
  <si>
    <t>Nic Freund</t>
  </si>
  <si>
    <t>Nikola Lazic</t>
  </si>
  <si>
    <t>Jano Wick</t>
  </si>
  <si>
    <t>Thomas Hoffmann</t>
  </si>
  <si>
    <t>Nils Del Simone</t>
  </si>
  <si>
    <t>Nicolas Welte</t>
  </si>
  <si>
    <t>Sandro Bührer</t>
  </si>
  <si>
    <t>Remon Abegglen</t>
  </si>
  <si>
    <t>Serge Müller</t>
  </si>
  <si>
    <t>Adriano Hürsch</t>
  </si>
  <si>
    <t>Auryn Flückiger</t>
  </si>
  <si>
    <t>Lara Schmid</t>
  </si>
  <si>
    <t>Florentin Hitz</t>
  </si>
  <si>
    <t>Fabio Baracchi</t>
  </si>
  <si>
    <t>Sebastian Bradford</t>
  </si>
  <si>
    <t>Dano Pezzi</t>
  </si>
  <si>
    <t>Nadine Mattmann</t>
  </si>
  <si>
    <t>Nicole Grimm</t>
  </si>
  <si>
    <t>Andrin Zoller</t>
  </si>
  <si>
    <t>Chiara Zoller</t>
  </si>
  <si>
    <t>Matthias Bähler</t>
  </si>
  <si>
    <t>Gabriela Rafique</t>
  </si>
  <si>
    <t>Renato Kälin</t>
  </si>
  <si>
    <t>Eva Hofmann</t>
  </si>
  <si>
    <t>Luc Neuenschwander</t>
  </si>
  <si>
    <t>Tamara Fritzsche</t>
  </si>
  <si>
    <t>Lucas Schmutz</t>
  </si>
  <si>
    <t>Fabien Holzmann</t>
  </si>
  <si>
    <t>Alenka Schmid</t>
  </si>
  <si>
    <t>Stefanie Rieder</t>
  </si>
  <si>
    <t>Nora Haas</t>
  </si>
  <si>
    <t>Benny Bachler</t>
  </si>
  <si>
    <t>Chiayuan Lee</t>
  </si>
  <si>
    <t>Sabine Voita</t>
  </si>
  <si>
    <t>Robin Müssener</t>
  </si>
  <si>
    <t>Fiona Rocholl</t>
  </si>
  <si>
    <t>Justin Weitl</t>
  </si>
  <si>
    <t>Anna Hillemann</t>
  </si>
  <si>
    <t>Jonas Rehberg</t>
  </si>
  <si>
    <t>Alicia Kostrewa</t>
  </si>
  <si>
    <t>Malika Billen</t>
  </si>
  <si>
    <t>Till Ullmann</t>
  </si>
  <si>
    <t>Marvin Rösinger</t>
  </si>
  <si>
    <t>Svenja Woitt</t>
  </si>
  <si>
    <t>Carmen Atzrodt</t>
  </si>
  <si>
    <t>Julia Harrer</t>
  </si>
  <si>
    <t>Benoit Scholtes</t>
  </si>
  <si>
    <t>Marie Brass</t>
  </si>
  <si>
    <t>Kaija Eigenmann</t>
  </si>
  <si>
    <t>Lukas Hächler</t>
  </si>
  <si>
    <t>Julian Göbel</t>
  </si>
  <si>
    <t>Ronja Lorenz</t>
  </si>
  <si>
    <t>Simon Haab</t>
  </si>
  <si>
    <t>Niklas Umhöfer</t>
  </si>
  <si>
    <t>Chiara Dahms</t>
  </si>
  <si>
    <t>Alina Keiser</t>
  </si>
  <si>
    <t>Markus Anderle</t>
  </si>
  <si>
    <t>Yvo Heinen</t>
  </si>
  <si>
    <t>Konstantin Schwarz</t>
  </si>
  <si>
    <t>Sascha Dorn</t>
  </si>
  <si>
    <t>Lukas Tapken</t>
  </si>
  <si>
    <t>Sebastian Kirmayr</t>
  </si>
  <si>
    <t>Fabio Hägl</t>
  </si>
  <si>
    <t>Simon Flörke</t>
  </si>
  <si>
    <t>Aaron Heesen</t>
  </si>
  <si>
    <t>Bartholomäus Rebmann</t>
  </si>
  <si>
    <t>Nicolas Führer</t>
  </si>
  <si>
    <t>Robin Degen</t>
  </si>
  <si>
    <t>Jerry Ritter</t>
  </si>
  <si>
    <t>Marc Holzapfel</t>
  </si>
  <si>
    <t>Roman Haak</t>
  </si>
  <si>
    <t>Dino Gelmi</t>
  </si>
  <si>
    <t>Donato Allemann</t>
  </si>
  <si>
    <t>Yannick Bossart</t>
  </si>
  <si>
    <t>Adrian Hauser</t>
  </si>
  <si>
    <t>Mark Haselböcke</t>
  </si>
  <si>
    <t>Cesar Ribeiro</t>
  </si>
  <si>
    <t>Vincent Ruppli</t>
  </si>
  <si>
    <t>Eric Stauss</t>
  </si>
  <si>
    <t>Lukas Hollenbach</t>
  </si>
  <si>
    <t>Nathalie Suter</t>
  </si>
  <si>
    <t>Dana Shmaria</t>
  </si>
  <si>
    <t>Sarah Regard</t>
  </si>
  <si>
    <t>Nadine Stähli</t>
  </si>
  <si>
    <t>Tobias Kämpf</t>
  </si>
  <si>
    <t>Jessie Kohler</t>
  </si>
  <si>
    <t>Annika Schmid</t>
  </si>
  <si>
    <t>Daniele Rizzo</t>
  </si>
  <si>
    <t>Leon Leuch</t>
  </si>
  <si>
    <t>Vanadis Schenk</t>
  </si>
  <si>
    <t>Thierry Werren</t>
  </si>
  <si>
    <t>Vivienne Kälin</t>
  </si>
  <si>
    <t>Furkan Gazozcu</t>
  </si>
  <si>
    <t>Annina Eigenmann</t>
  </si>
  <si>
    <t>Mirjam Wiedmer</t>
  </si>
  <si>
    <t xml:space="preserve">Eric Gäumann </t>
  </si>
  <si>
    <t>Giulietta Ferdinandi</t>
  </si>
  <si>
    <t>Michael Grass</t>
  </si>
  <si>
    <t>Serafina Vogel</t>
  </si>
  <si>
    <t>Michel Geiser</t>
  </si>
  <si>
    <t>Tanja Ziehli</t>
  </si>
  <si>
    <t>Noel Nocella</t>
  </si>
  <si>
    <t>Tim Zurkinden</t>
  </si>
  <si>
    <t>Arlette Zimmermann</t>
  </si>
  <si>
    <t>David Stampfli</t>
  </si>
  <si>
    <t>Johannes Kopfmann</t>
  </si>
  <si>
    <t>Till Spitznagel</t>
  </si>
  <si>
    <t>Paul Schirop</t>
  </si>
  <si>
    <t>Robin Erchen</t>
  </si>
  <si>
    <t>Neuehof</t>
  </si>
  <si>
    <t>Yves Tschan</t>
  </si>
  <si>
    <t>Marcus Gauterin</t>
  </si>
  <si>
    <t>Julian Krehle</t>
  </si>
  <si>
    <t>Julian  Stropp</t>
  </si>
  <si>
    <t>Felix Gertheinrich</t>
  </si>
  <si>
    <t>Andere</t>
  </si>
  <si>
    <t>Jannick Mauron</t>
  </si>
  <si>
    <t>Benjamin Andres</t>
  </si>
  <si>
    <t>Herbert Wilms</t>
  </si>
  <si>
    <t>Matthias Hertl</t>
  </si>
  <si>
    <t>Sarah Fässler</t>
  </si>
  <si>
    <t>Eva Schwab</t>
  </si>
  <si>
    <t>Ricarda Witt</t>
  </si>
  <si>
    <t>Jasmine Childress</t>
  </si>
  <si>
    <t>Larissa Lopez</t>
  </si>
  <si>
    <t>PR 1</t>
  </si>
  <si>
    <t>PR 2</t>
  </si>
  <si>
    <t>PR 3</t>
  </si>
  <si>
    <t>PR Rang</t>
  </si>
  <si>
    <t xml:space="preserve">Punkte Übersicht Women </t>
  </si>
  <si>
    <t xml:space="preserve">Punkte Übersicht Open </t>
  </si>
  <si>
    <t xml:space="preserve">Punkte Übersicht Mixed </t>
  </si>
  <si>
    <t>Multiplikatoren</t>
  </si>
  <si>
    <t>pro Top 10 Spieler*in</t>
  </si>
  <si>
    <t>+</t>
  </si>
  <si>
    <t>pro Top 20 Spieler*in</t>
  </si>
  <si>
    <t>pro Top 30 Spieler*in</t>
  </si>
  <si>
    <t>Wenn diese mit Teampartner aus den Top 30 zusammenspielen.</t>
  </si>
  <si>
    <t>und pro int. Spieler*in in Top 3 (Teamrangierung) des Turniers</t>
  </si>
  <si>
    <t>und pro int. Spieler*in in Top 8 (Teamrangierung) des Turniers</t>
  </si>
  <si>
    <t>Tournament Ranks</t>
  </si>
  <si>
    <t>pro Top 10 Spieler*in Open</t>
  </si>
  <si>
    <t>pro Top 20 Spieler*in Open</t>
  </si>
  <si>
    <t>pro Top 30 Spieler*in Open</t>
  </si>
  <si>
    <t>pro Top 6 Spielerin women</t>
  </si>
  <si>
    <t>pro Top 12 Spieler*in women</t>
  </si>
  <si>
    <t>pro Top 18 Spieler*in women</t>
  </si>
  <si>
    <t xml:space="preserve"> pro int. Spieler*in in Top 3 (Teamrangierung) des Turniers</t>
  </si>
  <si>
    <t xml:space="preserve"> pro int. Spieler*in in Top 8 (Teamrangierung) des Turniers</t>
  </si>
  <si>
    <t>Jonathan Rimle</t>
  </si>
  <si>
    <t>Nicholas Gaertner</t>
  </si>
  <si>
    <t>Alexander Solc</t>
  </si>
  <si>
    <t>Julius Piekenbrock</t>
  </si>
  <si>
    <t>Tristan Jannasch</t>
  </si>
  <si>
    <t>Josche Balle</t>
  </si>
  <si>
    <t>Matthias Radius</t>
  </si>
  <si>
    <t>Julian Neunark</t>
  </si>
  <si>
    <t>Constantin Schöttgen</t>
  </si>
  <si>
    <t>Tobias Micheler</t>
  </si>
  <si>
    <t>Simon Blech</t>
  </si>
  <si>
    <t>Samuel Schmid</t>
  </si>
  <si>
    <t>PR</t>
  </si>
  <si>
    <t>PR2</t>
  </si>
  <si>
    <t>PR3</t>
  </si>
  <si>
    <t>Marcia Kälberer</t>
  </si>
  <si>
    <t>TS SH W 22.02.22</t>
  </si>
  <si>
    <t>TS SH O 22.02.22</t>
  </si>
  <si>
    <t>Carla Marchetti</t>
  </si>
  <si>
    <t>Keerthana Uruthirasingam</t>
  </si>
  <si>
    <t/>
  </si>
  <si>
    <t>SM PO Mi 08.08.21</t>
  </si>
  <si>
    <t>TS SH Mi 04.09.21</t>
  </si>
  <si>
    <t>TS BE Mi 11.09.21</t>
  </si>
  <si>
    <t>CR Rang</t>
  </si>
  <si>
    <t>*Bei Fehlern oder Fragen bitte Reglement beiziehen oder Swiss Roundnet Vorstand fragen (--&gt; Verantwortlichkeit bei Jonas)</t>
  </si>
  <si>
    <t>Power Ranking</t>
  </si>
  <si>
    <t>Community Ranking</t>
  </si>
  <si>
    <t>Anz. SpielerInnen</t>
  </si>
  <si>
    <t>Club Power Ranking Overall</t>
  </si>
  <si>
    <t>Individual Power Ranking Women</t>
  </si>
  <si>
    <t>CR</t>
  </si>
  <si>
    <t>Community
Ranking</t>
  </si>
  <si>
    <t>Power 
Ranking</t>
  </si>
  <si>
    <t>Tournament
Points</t>
  </si>
  <si>
    <t>pro Top 6 Spielerin</t>
  </si>
  <si>
    <t>pro Top 12 Spielerin</t>
  </si>
  <si>
    <t>pro Top 18 Spielerin</t>
  </si>
  <si>
    <t>Multiplikator:</t>
  </si>
  <si>
    <t>Spielerinnen zählen zum Multiplikator, wenn beide Teampartnerinnen inder Top 18 sind.</t>
  </si>
  <si>
    <t>Power
Ranking</t>
  </si>
  <si>
    <t>und pro int. Spielerin in Top 2 (Teamrangierung) des Turniers</t>
  </si>
  <si>
    <t>und pro int. Spielerin in Top 4 (Teamrangierung) des Turniers</t>
  </si>
  <si>
    <t>Nationalmannsch. Kader</t>
  </si>
  <si>
    <t>Erweitertes Schweizer</t>
  </si>
  <si>
    <t>Name</t>
  </si>
  <si>
    <t>PR Punkte</t>
  </si>
  <si>
    <t>CR Punkte</t>
  </si>
  <si>
    <t>Community 
Ranking</t>
  </si>
  <si>
    <t>Individual Power Ranking Open</t>
  </si>
  <si>
    <t>POWER RANKING</t>
  </si>
  <si>
    <t>Spieler*innen zählen zum Multiplikator, wenn beide Teampartnerinnen inder Top 30 sind.</t>
  </si>
  <si>
    <t>Spieler*innen zählen zum Multiplikator, wenn die Teampartnerin in der Top 18 ist und der Teampartner in der Top 30 ist.</t>
  </si>
  <si>
    <t>TS LU W 12.03.22</t>
  </si>
  <si>
    <t>Xenia Furrer</t>
  </si>
  <si>
    <t>Melina Ragonesi</t>
  </si>
  <si>
    <t>Stefanie Waldvogel</t>
  </si>
  <si>
    <t>Annika Kunz</t>
  </si>
  <si>
    <t>Valerie Gerschwiler</t>
  </si>
  <si>
    <t>Yaëlle Etter</t>
  </si>
  <si>
    <t>Aimée Frey</t>
  </si>
  <si>
    <t>Sufi Eggenberger</t>
  </si>
  <si>
    <t>Anna Schoch</t>
  </si>
  <si>
    <t>Tendenz</t>
  </si>
  <si>
    <t>PR Rang beim letzten Turnier</t>
  </si>
  <si>
    <t>Moritz Burkhardt</t>
  </si>
  <si>
    <t>Benjamin Maucher</t>
  </si>
  <si>
    <t>Sammy Waescher</t>
  </si>
  <si>
    <t>Stephan Mückschel</t>
  </si>
  <si>
    <t>Lukas Brugger</t>
  </si>
  <si>
    <t>Raphael Zgraggen</t>
  </si>
  <si>
    <t>Fabian Haitszinger</t>
  </si>
  <si>
    <t>Flurin Brugger</t>
  </si>
  <si>
    <t>Leo Ulrich</t>
  </si>
  <si>
    <t>Langenthal</t>
  </si>
  <si>
    <t>Matteo Volante</t>
  </si>
  <si>
    <t>Noah Furrer</t>
  </si>
  <si>
    <t>Lorenz Baumann</t>
  </si>
  <si>
    <t>Simon Moser</t>
  </si>
  <si>
    <t>Nicola Baumann</t>
  </si>
  <si>
    <t>Loris Ticli</t>
  </si>
  <si>
    <t>LT</t>
  </si>
  <si>
    <t>David Rentsch</t>
  </si>
  <si>
    <t>Sebastian Wicki</t>
  </si>
  <si>
    <t xml:space="preserve">Federico jori </t>
  </si>
  <si>
    <t>Julien Prieur</t>
  </si>
  <si>
    <t>Tanaël Nguyen</t>
  </si>
  <si>
    <t xml:space="preserve">Yoann Von Deschwanden </t>
  </si>
  <si>
    <t>Luka Pereira Gallego</t>
  </si>
  <si>
    <t>Jean Valluy</t>
  </si>
  <si>
    <t>Leo Schaepers</t>
  </si>
  <si>
    <t>Loïc bon Deschwanden</t>
  </si>
  <si>
    <t>Damian Schnidrig</t>
  </si>
  <si>
    <t>Nathan Marchand</t>
  </si>
  <si>
    <t>Arnaud Mermillod-Blondin</t>
  </si>
  <si>
    <t xml:space="preserve">Lucas Crettenand </t>
  </si>
  <si>
    <t>Fred Doan</t>
  </si>
  <si>
    <t xml:space="preserve">Jhon Tonutti </t>
  </si>
  <si>
    <t>Kayvan Imthurn</t>
  </si>
  <si>
    <t>Gaspard Rose</t>
  </si>
  <si>
    <t>Marc-Antoine Rose</t>
  </si>
  <si>
    <t xml:space="preserve">Robin Carlier </t>
  </si>
  <si>
    <t>Tanguy Giroud</t>
  </si>
  <si>
    <t>Kevin Knecht</t>
  </si>
  <si>
    <t>Théo Moulin</t>
  </si>
  <si>
    <t>Maxime Mermillod-Blondin</t>
  </si>
  <si>
    <t>Benjamin Sjöstrand</t>
  </si>
  <si>
    <t>Luca Paoletti</t>
  </si>
  <si>
    <t>Louis Rostaing</t>
  </si>
  <si>
    <t>Lukas Baumeler</t>
  </si>
  <si>
    <t>Théo Visbecq</t>
  </si>
  <si>
    <t>Matias Bermejo Pasetti</t>
  </si>
  <si>
    <t>Larry Carrel</t>
  </si>
  <si>
    <t>Jessica Widmer</t>
  </si>
  <si>
    <t>Lea Reimann</t>
  </si>
  <si>
    <t>bern</t>
  </si>
  <si>
    <t>PR1</t>
  </si>
  <si>
    <t>TS BE MI Rang</t>
  </si>
  <si>
    <t>TS SH MI Rang</t>
  </si>
  <si>
    <t>SM PO MI Rang</t>
  </si>
  <si>
    <t>TS SH O 23.04.22</t>
  </si>
  <si>
    <t>TS LA O 08.05.22</t>
  </si>
  <si>
    <t>TS LA W 08.05.22</t>
  </si>
  <si>
    <t>TS SH O 23.04.22 Rang</t>
  </si>
  <si>
    <t>TS LA W 08.05.22 Rang</t>
  </si>
  <si>
    <t>TS SH O 22.02.22 Rang</t>
  </si>
  <si>
    <t>TS SH W 22.02.22 Rang</t>
  </si>
  <si>
    <t>TS LU W 12.03.22 Rang</t>
  </si>
  <si>
    <t>TS BA Mi 07.05.22</t>
  </si>
  <si>
    <t>TS BA Mi 07.05.22 Rang</t>
  </si>
  <si>
    <t>Fiona Kunzelmann</t>
  </si>
  <si>
    <t>Chiara Nemeth</t>
  </si>
  <si>
    <t>Denise Oortwyn</t>
  </si>
  <si>
    <t>Jonas Heinicke</t>
  </si>
  <si>
    <t>Björn Anderson</t>
  </si>
  <si>
    <t>Niklas Möhrlein</t>
  </si>
  <si>
    <t>Charlotte Willuhn</t>
  </si>
  <si>
    <t>Celine Wenker</t>
  </si>
  <si>
    <t>Fernando Alarcón Reve</t>
  </si>
  <si>
    <t xml:space="preserve">Joël Moret </t>
  </si>
  <si>
    <t xml:space="preserve">Paul Cretegny </t>
  </si>
  <si>
    <t>Matthieu Levivier</t>
  </si>
  <si>
    <t>Frédéric Minguard</t>
  </si>
  <si>
    <t>Alexis Chanel</t>
  </si>
  <si>
    <t>Nicolas Kieffer</t>
  </si>
  <si>
    <t xml:space="preserve">Alois Aebischer </t>
  </si>
  <si>
    <t>Eliot Voegeli</t>
  </si>
  <si>
    <t xml:space="preserve">Fabio Carbone </t>
  </si>
  <si>
    <t xml:space="preserve">Verrey Océane </t>
  </si>
  <si>
    <t>Pierre Lecrosnier</t>
  </si>
  <si>
    <t>Victor Cambois</t>
  </si>
  <si>
    <t>Verrey Océane</t>
  </si>
  <si>
    <t>Aljoscha Fleig</t>
  </si>
  <si>
    <t>TS SG W 25.05.22 Rang</t>
  </si>
  <si>
    <t>TS SG W 25.05.22</t>
  </si>
  <si>
    <t>TS SG O 25.05.22 Rang</t>
  </si>
  <si>
    <t>TS SG O 25.05.22</t>
  </si>
  <si>
    <t>Cécile Ammann</t>
  </si>
  <si>
    <t>Carmen Frei</t>
  </si>
  <si>
    <t>TS SH 22.02.22 Rang</t>
  </si>
  <si>
    <t>TS LA O 08.05.22 Rang</t>
  </si>
  <si>
    <t>Philipp Beck</t>
  </si>
  <si>
    <t>Finn Blome</t>
  </si>
  <si>
    <t>Nicolàs Truijens</t>
  </si>
  <si>
    <t>Andri Bühler</t>
  </si>
  <si>
    <t>Micha Bagdasarianz</t>
  </si>
  <si>
    <t>David Meier</t>
  </si>
  <si>
    <t>Joel Kneubühler</t>
  </si>
  <si>
    <t>Robin Pezzoli</t>
  </si>
  <si>
    <t>Mario Gygax</t>
  </si>
  <si>
    <t>Reto Zeder</t>
  </si>
  <si>
    <t>TS SH O 25.06.22</t>
  </si>
  <si>
    <t>TS SH O 25.06.22 Rang</t>
  </si>
  <si>
    <t>Raphael Freiberg</t>
  </si>
  <si>
    <t>Manuel Berndt</t>
  </si>
  <si>
    <t>Toma Gadjev</t>
  </si>
  <si>
    <t>Zora Zeller</t>
  </si>
  <si>
    <t xml:space="preserve">Jannick Mauron </t>
  </si>
  <si>
    <t>Nik Winkler</t>
  </si>
  <si>
    <t>Damian Gähwiler</t>
  </si>
  <si>
    <t>Katja Leemann</t>
  </si>
  <si>
    <t>Lucas Gutheinz</t>
  </si>
  <si>
    <t>Dana Samaria</t>
  </si>
  <si>
    <t>Nadine Zengaffinen</t>
  </si>
  <si>
    <t>Muriel Schmid</t>
  </si>
  <si>
    <t>Sonja Deissenböck</t>
  </si>
  <si>
    <t>TS SH W 25.06.22</t>
  </si>
  <si>
    <t>A</t>
  </si>
  <si>
    <t>Advanced</t>
  </si>
  <si>
    <t>B</t>
  </si>
  <si>
    <t>Beginner</t>
  </si>
  <si>
    <t>TS ZH O/A 25.06.22 Rang</t>
  </si>
  <si>
    <t>TS ZH O/B 25.06.22 Rang</t>
  </si>
  <si>
    <t>TS ZH O/A 25.06.22</t>
  </si>
  <si>
    <t>TS ZH O/B 25.06.22</t>
  </si>
  <si>
    <t>Leonard Suter</t>
  </si>
  <si>
    <t>Lukas Lietzow</t>
  </si>
  <si>
    <t>Jeroen Uesbeck</t>
  </si>
  <si>
    <t>Jan Oberkofler</t>
  </si>
  <si>
    <t>Marvin Koch</t>
  </si>
  <si>
    <t>Valery Bucheli</t>
  </si>
  <si>
    <t>Ralf Boltshauser</t>
  </si>
  <si>
    <t>Yanik Burri</t>
  </si>
  <si>
    <t>Miguel Ferreira</t>
  </si>
  <si>
    <t>Paola Diaz Cruz</t>
  </si>
  <si>
    <t>Yann Pelda</t>
  </si>
  <si>
    <t>Liam Bauer</t>
  </si>
  <si>
    <t>TS ZH W 02.07.22 Rang</t>
  </si>
  <si>
    <t>Selina Bachmann</t>
  </si>
  <si>
    <t>SM BE O/A 09.07.22</t>
  </si>
  <si>
    <t>SM BE O/A 09.07.22 Rang</t>
  </si>
  <si>
    <t>TS ZH W 02.07.22</t>
  </si>
  <si>
    <t>SM BE W 09.07.22</t>
  </si>
  <si>
    <t>SM BE W 09.07.22 Rang</t>
  </si>
  <si>
    <t>Beatrice Frei</t>
  </si>
  <si>
    <t>Linda Gabrieli</t>
  </si>
  <si>
    <t>Laura Mayrhuber</t>
  </si>
  <si>
    <t>Michal Lüthi</t>
  </si>
  <si>
    <t>Sarah Heynen</t>
  </si>
  <si>
    <t>Michelle Ganz</t>
  </si>
  <si>
    <t>Ladina Blumenthal</t>
  </si>
  <si>
    <t>Jamina Zbinden</t>
  </si>
  <si>
    <t>Zoë Götschmann</t>
  </si>
  <si>
    <t>Luis Castro</t>
  </si>
  <si>
    <t>Kay Schöb</t>
  </si>
  <si>
    <t>Michael Keller</t>
  </si>
  <si>
    <t>SM BE O/B 09.07.22 Rang</t>
  </si>
  <si>
    <t>TS SH W 25.06.22 Rang</t>
  </si>
  <si>
    <t>Open A</t>
  </si>
  <si>
    <t>Open B</t>
  </si>
  <si>
    <t>SM BE O/B 09.07.22</t>
  </si>
  <si>
    <t>Tim Eggimann</t>
  </si>
  <si>
    <t>Luca Stalder</t>
  </si>
  <si>
    <t>Jeroen Brus</t>
  </si>
  <si>
    <t>Teo Kukuljan</t>
  </si>
  <si>
    <t>Michael Zuberbühler</t>
  </si>
  <si>
    <t>Nicolas Zurbuchen</t>
  </si>
  <si>
    <t>Manuel Niklaus</t>
  </si>
  <si>
    <t>Joël Wegmüller</t>
  </si>
  <si>
    <t>Noa Heimler</t>
  </si>
  <si>
    <t>Wim Schwegler</t>
  </si>
  <si>
    <t>Julien Christen</t>
  </si>
  <si>
    <t>Nicolas Schmidli</t>
  </si>
  <si>
    <t>Jonatan Turegard</t>
  </si>
  <si>
    <t>Julia Rubli</t>
  </si>
  <si>
    <t>Johnny Ganz</t>
  </si>
  <si>
    <t>Timon Resner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</si>
</sst>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FFFF"/>
      <name val="Calibri"/>
      <family val="2"/>
      <scheme val="minor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04FA"/>
        <bgColor indexed="64"/>
      </patternFill>
    </fill>
    <fill>
      <patternFill patternType="solid">
        <fgColor rgb="FFEC93E8"/>
        <bgColor indexed="64"/>
      </patternFill>
    </fill>
    <fill>
      <patternFill patternType="solid">
        <fgColor rgb="FFF3D0F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DEDED"/>
        <bgColor rgb="FFEDEDED"/>
      </patternFill>
    </fill>
    <fill>
      <patternFill patternType="solid">
        <fgColor theme="3" tint="0.59999389629810485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thin">
        <color theme="6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7558519241921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applyBorder="1" applyProtection="1">
      <protection locked="0"/>
    </xf>
    <xf numFmtId="0" fontId="4" fillId="0" borderId="0" xfId="0" applyFont="1" applyBorder="1"/>
    <xf numFmtId="0" fontId="6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" fillId="2" borderId="0" xfId="0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6" fillId="0" borderId="0" xfId="0" applyFont="1" applyBorder="1"/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5" xfId="0" applyFill="1" applyBorder="1"/>
    <xf numFmtId="0" fontId="0" fillId="2" borderId="4" xfId="0" applyFill="1" applyBorder="1"/>
    <xf numFmtId="0" fontId="10" fillId="5" borderId="4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6" fillId="0" borderId="0" xfId="0" applyFont="1" applyFill="1"/>
    <xf numFmtId="0" fontId="0" fillId="0" borderId="0" xfId="0" applyFill="1" applyProtection="1">
      <protection locked="0"/>
    </xf>
    <xf numFmtId="0" fontId="0" fillId="0" borderId="0" xfId="0" applyFont="1" applyFill="1" applyBorder="1" applyProtection="1">
      <protection locked="0"/>
    </xf>
    <xf numFmtId="0" fontId="7" fillId="0" borderId="0" xfId="0" applyFont="1" applyFill="1"/>
    <xf numFmtId="0" fontId="0" fillId="0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0" fontId="0" fillId="0" borderId="0" xfId="0" applyFont="1" applyProtection="1">
      <protection locked="0"/>
    </xf>
    <xf numFmtId="0" fontId="0" fillId="0" borderId="0" xfId="0" applyNumberFormat="1" applyBorder="1"/>
    <xf numFmtId="0" fontId="0" fillId="6" borderId="0" xfId="0" applyFill="1" applyBorder="1"/>
    <xf numFmtId="0" fontId="0" fillId="0" borderId="9" xfId="0" applyFill="1" applyBorder="1"/>
    <xf numFmtId="49" fontId="0" fillId="0" borderId="0" xfId="0" applyNumberFormat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5" borderId="10" xfId="0" applyFill="1" applyBorder="1"/>
    <xf numFmtId="0" fontId="8" fillId="0" borderId="0" xfId="0" applyFont="1" applyFill="1" applyBorder="1" applyAlignment="1">
      <alignment horizontal="center"/>
    </xf>
    <xf numFmtId="0" fontId="0" fillId="0" borderId="10" xfId="0" applyFill="1" applyBorder="1"/>
    <xf numFmtId="0" fontId="5" fillId="0" borderId="10" xfId="0" applyFont="1" applyFill="1" applyBorder="1" applyAlignment="1">
      <alignment horizontal="right" vertical="center" wrapText="1"/>
    </xf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0" borderId="0" xfId="0" applyFill="1" applyBorder="1" applyAlignment="1">
      <alignment horizontal="right" indent="1"/>
    </xf>
    <xf numFmtId="0" fontId="9" fillId="6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0" fillId="13" borderId="0" xfId="0" applyFill="1" applyBorder="1"/>
    <xf numFmtId="0" fontId="9" fillId="1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0" fillId="8" borderId="0" xfId="0" applyFont="1" applyFill="1" applyBorder="1"/>
    <xf numFmtId="0" fontId="0" fillId="9" borderId="0" xfId="0" applyFont="1" applyFill="1" applyBorder="1"/>
    <xf numFmtId="0" fontId="0" fillId="10" borderId="0" xfId="0" applyFont="1" applyFill="1" applyBorder="1"/>
    <xf numFmtId="0" fontId="8" fillId="3" borderId="0" xfId="0" applyFont="1" applyFill="1" applyBorder="1" applyAlignment="1">
      <alignment horizontal="left"/>
    </xf>
    <xf numFmtId="0" fontId="0" fillId="16" borderId="9" xfId="0" applyFill="1" applyBorder="1"/>
    <xf numFmtId="0" fontId="0" fillId="15" borderId="9" xfId="0" applyFill="1" applyBorder="1"/>
    <xf numFmtId="0" fontId="0" fillId="16" borderId="14" xfId="0" applyFill="1" applyBorder="1"/>
    <xf numFmtId="0" fontId="5" fillId="20" borderId="14" xfId="0" applyFont="1" applyFill="1" applyBorder="1" applyAlignment="1">
      <alignment horizontal="right" vertical="center" wrapText="1"/>
    </xf>
    <xf numFmtId="0" fontId="0" fillId="15" borderId="14" xfId="0" applyFill="1" applyBorder="1"/>
    <xf numFmtId="0" fontId="0" fillId="14" borderId="14" xfId="0" applyFill="1" applyBorder="1"/>
    <xf numFmtId="0" fontId="0" fillId="14" borderId="9" xfId="0" applyFill="1" applyBorder="1"/>
    <xf numFmtId="0" fontId="0" fillId="17" borderId="9" xfId="0" applyFill="1" applyBorder="1"/>
    <xf numFmtId="0" fontId="0" fillId="17" borderId="14" xfId="0" applyFill="1" applyBorder="1"/>
    <xf numFmtId="0" fontId="0" fillId="18" borderId="9" xfId="0" applyFill="1" applyBorder="1"/>
    <xf numFmtId="0" fontId="0" fillId="18" borderId="14" xfId="0" applyFill="1" applyBorder="1"/>
    <xf numFmtId="0" fontId="0" fillId="20" borderId="9" xfId="0" applyFill="1" applyBorder="1"/>
    <xf numFmtId="0" fontId="0" fillId="20" borderId="14" xfId="0" applyFill="1" applyBorder="1"/>
    <xf numFmtId="0" fontId="5" fillId="15" borderId="14" xfId="0" applyFont="1" applyFill="1" applyBorder="1" applyAlignment="1">
      <alignment horizontal="right" vertical="center" wrapText="1"/>
    </xf>
    <xf numFmtId="0" fontId="0" fillId="21" borderId="9" xfId="0" applyFill="1" applyBorder="1"/>
    <xf numFmtId="0" fontId="0" fillId="21" borderId="14" xfId="0" applyFill="1" applyBorder="1"/>
    <xf numFmtId="0" fontId="5" fillId="21" borderId="14" xfId="0" applyFont="1" applyFill="1" applyBorder="1" applyAlignment="1">
      <alignment horizontal="right" vertical="center" wrapText="1"/>
    </xf>
    <xf numFmtId="0" fontId="0" fillId="22" borderId="9" xfId="0" applyFill="1" applyBorder="1"/>
    <xf numFmtId="0" fontId="0" fillId="22" borderId="14" xfId="0" applyFill="1" applyBorder="1"/>
    <xf numFmtId="0" fontId="0" fillId="19" borderId="9" xfId="0" applyFill="1" applyBorder="1"/>
    <xf numFmtId="0" fontId="5" fillId="22" borderId="14" xfId="0" applyFont="1" applyFill="1" applyBorder="1" applyAlignment="1">
      <alignment horizontal="right" vertical="center" wrapText="1"/>
    </xf>
    <xf numFmtId="0" fontId="0" fillId="11" borderId="9" xfId="0" applyFill="1" applyBorder="1"/>
    <xf numFmtId="0" fontId="0" fillId="0" borderId="0" xfId="0" applyNumberFormat="1" applyFont="1" applyBorder="1"/>
    <xf numFmtId="0" fontId="0" fillId="5" borderId="0" xfId="0" applyFill="1" applyBorder="1"/>
    <xf numFmtId="0" fontId="2" fillId="2" borderId="0" xfId="0" applyFont="1" applyFill="1" applyBorder="1"/>
    <xf numFmtId="0" fontId="0" fillId="5" borderId="0" xfId="0" applyFont="1" applyFill="1" applyBorder="1"/>
    <xf numFmtId="0" fontId="0" fillId="5" borderId="4" xfId="0" applyNumberFormat="1" applyFont="1" applyFill="1" applyBorder="1"/>
    <xf numFmtId="0" fontId="12" fillId="5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3" fillId="0" borderId="4" xfId="0" applyFont="1" applyBorder="1"/>
    <xf numFmtId="0" fontId="1" fillId="5" borderId="5" xfId="0" applyFont="1" applyFill="1" applyBorder="1"/>
    <xf numFmtId="0" fontId="0" fillId="5" borderId="5" xfId="0" applyFont="1" applyFill="1" applyBorder="1"/>
    <xf numFmtId="0" fontId="0" fillId="0" borderId="5" xfId="0" applyBorder="1"/>
    <xf numFmtId="0" fontId="0" fillId="5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4" fillId="0" borderId="19" xfId="0" applyFont="1" applyBorder="1"/>
    <xf numFmtId="3" fontId="0" fillId="0" borderId="0" xfId="0" applyNumberFormat="1" applyFont="1" applyBorder="1"/>
    <xf numFmtId="3" fontId="0" fillId="0" borderId="0" xfId="0" applyNumberFormat="1" applyBorder="1"/>
    <xf numFmtId="0" fontId="0" fillId="2" borderId="0" xfId="0" applyFill="1" applyBorder="1"/>
    <xf numFmtId="0" fontId="13" fillId="0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5" borderId="0" xfId="0" applyFill="1" applyBorder="1"/>
    <xf numFmtId="0" fontId="0" fillId="23" borderId="0" xfId="0" applyFill="1" applyBorder="1"/>
    <xf numFmtId="0" fontId="2" fillId="5" borderId="0" xfId="0" applyFont="1" applyFill="1" applyBorder="1"/>
    <xf numFmtId="0" fontId="0" fillId="24" borderId="0" xfId="0" applyFill="1" applyBorder="1"/>
    <xf numFmtId="0" fontId="0" fillId="25" borderId="0" xfId="0" applyFill="1" applyBorder="1"/>
    <xf numFmtId="0" fontId="0" fillId="0" borderId="0" xfId="0" applyFont="1" applyBorder="1" applyAlignment="1">
      <alignment wrapText="1"/>
    </xf>
    <xf numFmtId="0" fontId="15" fillId="0" borderId="0" xfId="0" applyFont="1" applyBorder="1"/>
    <xf numFmtId="0" fontId="0" fillId="6" borderId="0" xfId="0" applyFont="1" applyFill="1" applyBorder="1"/>
    <xf numFmtId="0" fontId="0" fillId="14" borderId="0" xfId="0" applyFont="1" applyFill="1" applyBorder="1"/>
    <xf numFmtId="0" fontId="0" fillId="8" borderId="0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0" fontId="0" fillId="14" borderId="0" xfId="0" applyFont="1" applyFill="1" applyBorder="1" applyAlignment="1">
      <alignment horizontal="right"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>
      <alignment horizontal="right" vertical="center" wrapText="1"/>
    </xf>
    <xf numFmtId="3" fontId="0" fillId="26" borderId="0" xfId="0" applyNumberFormat="1" applyFont="1" applyFill="1" applyBorder="1"/>
    <xf numFmtId="0" fontId="0" fillId="15" borderId="0" xfId="0" applyFont="1" applyFill="1" applyBorder="1"/>
    <xf numFmtId="0" fontId="0" fillId="15" borderId="0" xfId="0" applyFont="1" applyFill="1" applyBorder="1" applyAlignment="1">
      <alignment horizontal="right" vertical="center" wrapText="1"/>
    </xf>
    <xf numFmtId="0" fontId="0" fillId="27" borderId="0" xfId="0" applyFont="1" applyFill="1" applyBorder="1"/>
    <xf numFmtId="0" fontId="0" fillId="27" borderId="0" xfId="0" applyFont="1" applyFill="1" applyBorder="1" applyAlignment="1">
      <alignment horizontal="right" vertical="center" wrapText="1"/>
    </xf>
    <xf numFmtId="0" fontId="9" fillId="6" borderId="0" xfId="0" applyFont="1" applyFill="1"/>
    <xf numFmtId="0" fontId="9" fillId="13" borderId="0" xfId="0" applyFont="1" applyFill="1"/>
    <xf numFmtId="0" fontId="13" fillId="5" borderId="10" xfId="0" applyFont="1" applyFill="1" applyBorder="1"/>
    <xf numFmtId="0" fontId="13" fillId="0" borderId="10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0" fillId="26" borderId="0" xfId="0" applyFill="1" applyBorder="1"/>
    <xf numFmtId="0" fontId="0" fillId="27" borderId="0" xfId="0" applyFill="1" applyBorder="1"/>
    <xf numFmtId="2" fontId="0" fillId="8" borderId="0" xfId="0" applyNumberFormat="1" applyFill="1" applyBorder="1"/>
    <xf numFmtId="0" fontId="0" fillId="27" borderId="0" xfId="0" applyFill="1" applyBorder="1" applyAlignment="1">
      <alignment horizontal="left" vertical="center"/>
    </xf>
    <xf numFmtId="0" fontId="2" fillId="27" borderId="0" xfId="0" applyFont="1" applyFill="1" applyBorder="1"/>
    <xf numFmtId="0" fontId="0" fillId="24" borderId="0" xfId="0" applyFont="1" applyFill="1" applyBorder="1" applyAlignment="1">
      <alignment horizontal="left"/>
    </xf>
    <xf numFmtId="0" fontId="13" fillId="0" borderId="0" xfId="0" applyFont="1" applyBorder="1"/>
    <xf numFmtId="0" fontId="0" fillId="2" borderId="0" xfId="0" applyFont="1" applyFill="1" applyBorder="1"/>
    <xf numFmtId="0" fontId="13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/>
    <xf numFmtId="3" fontId="0" fillId="26" borderId="6" xfId="0" applyNumberFormat="1" applyFont="1" applyFill="1" applyBorder="1"/>
    <xf numFmtId="0" fontId="0" fillId="0" borderId="6" xfId="0" applyFill="1" applyBorder="1"/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 applyAlignment="1">
      <alignment horizontal="right" indent="1"/>
    </xf>
    <xf numFmtId="0" fontId="0" fillId="12" borderId="0" xfId="0" applyFont="1" applyFill="1" applyBorder="1"/>
    <xf numFmtId="0" fontId="0" fillId="11" borderId="0" xfId="0" applyFont="1" applyFill="1" applyBorder="1"/>
    <xf numFmtId="0" fontId="0" fillId="0" borderId="21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6" borderId="0" xfId="0" applyFont="1" applyFill="1"/>
    <xf numFmtId="0" fontId="6" fillId="6" borderId="0" xfId="0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0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/>
    <xf numFmtId="3" fontId="0" fillId="0" borderId="0" xfId="0" applyNumberFormat="1"/>
    <xf numFmtId="0" fontId="0" fillId="0" borderId="11" xfId="0" applyFill="1" applyBorder="1"/>
    <xf numFmtId="0" fontId="0" fillId="0" borderId="0" xfId="0" applyBorder="1" applyAlignment="1">
      <alignment horizontal="right"/>
    </xf>
    <xf numFmtId="0" fontId="0" fillId="5" borderId="0" xfId="0" applyFill="1" applyBorder="1"/>
    <xf numFmtId="0" fontId="0" fillId="5" borderId="0" xfId="0" applyFill="1" applyBorder="1"/>
    <xf numFmtId="0" fontId="0" fillId="5" borderId="0" xfId="0" applyFill="1" applyBorder="1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0" fontId="17" fillId="0" borderId="0" xfId="0" applyFont="1"/>
    <xf numFmtId="0" fontId="13" fillId="2" borderId="0" xfId="0" applyFont="1" applyFill="1" applyBorder="1"/>
    <xf numFmtId="0" fontId="0" fillId="0" borderId="6" xfId="0" applyFont="1" applyFill="1" applyBorder="1"/>
    <xf numFmtId="0" fontId="0" fillId="5" borderId="0" xfId="0" applyFill="1" applyBorder="1"/>
    <xf numFmtId="0" fontId="0" fillId="16" borderId="0" xfId="0" applyFont="1" applyFill="1" applyBorder="1"/>
    <xf numFmtId="0" fontId="0" fillId="17" borderId="0" xfId="0" applyFont="1" applyFill="1" applyBorder="1"/>
    <xf numFmtId="0" fontId="0" fillId="18" borderId="0" xfId="0" applyFont="1" applyFill="1" applyBorder="1"/>
    <xf numFmtId="0" fontId="0" fillId="20" borderId="0" xfId="0" applyFont="1" applyFill="1" applyBorder="1"/>
    <xf numFmtId="0" fontId="0" fillId="21" borderId="0" xfId="0" applyFont="1" applyFill="1" applyBorder="1"/>
    <xf numFmtId="0" fontId="0" fillId="22" borderId="0" xfId="0" applyFont="1" applyFill="1" applyBorder="1"/>
    <xf numFmtId="0" fontId="0" fillId="2" borderId="20" xfId="0" applyFont="1" applyFill="1" applyBorder="1"/>
    <xf numFmtId="0" fontId="0" fillId="5" borderId="0" xfId="0" applyFill="1" applyBorder="1"/>
    <xf numFmtId="0" fontId="0" fillId="15" borderId="0" xfId="0" applyNumberFormat="1" applyFont="1" applyFill="1" applyBorder="1"/>
    <xf numFmtId="0" fontId="0" fillId="15" borderId="6" xfId="0" applyNumberFormat="1" applyFont="1" applyFill="1" applyBorder="1"/>
    <xf numFmtId="0" fontId="0" fillId="24" borderId="20" xfId="0" applyFont="1" applyFill="1" applyBorder="1"/>
    <xf numFmtId="0" fontId="13" fillId="0" borderId="0" xfId="0" applyNumberFormat="1" applyFont="1" applyBorder="1"/>
    <xf numFmtId="3" fontId="0" fillId="0" borderId="0" xfId="0" applyNumberFormat="1" applyFont="1" applyBorder="1" applyProtection="1">
      <protection locked="0"/>
    </xf>
    <xf numFmtId="0" fontId="0" fillId="0" borderId="0" xfId="0" applyNumberFormat="1" applyFont="1" applyBorder="1" applyProtection="1">
      <protection locked="0"/>
    </xf>
    <xf numFmtId="0" fontId="17" fillId="0" borderId="0" xfId="0" applyFont="1" applyBorder="1"/>
    <xf numFmtId="0" fontId="0" fillId="0" borderId="0" xfId="0" applyNumberFormat="1" applyFont="1" applyFill="1" applyBorder="1"/>
    <xf numFmtId="0" fontId="0" fillId="27" borderId="20" xfId="0" applyFont="1" applyFill="1" applyBorder="1" applyAlignment="1">
      <alignment horizontal="left"/>
    </xf>
    <xf numFmtId="0" fontId="0" fillId="8" borderId="0" xfId="0" applyNumberFormat="1" applyFont="1" applyFill="1" applyBorder="1"/>
    <xf numFmtId="0" fontId="0" fillId="14" borderId="0" xfId="0" applyNumberFormat="1" applyFont="1" applyFill="1" applyBorder="1"/>
    <xf numFmtId="0" fontId="0" fillId="9" borderId="0" xfId="0" applyNumberFormat="1" applyFont="1" applyFill="1" applyBorder="1"/>
    <xf numFmtId="0" fontId="0" fillId="10" borderId="0" xfId="0" applyNumberFormat="1" applyFont="1" applyFill="1" applyBorder="1"/>
    <xf numFmtId="0" fontId="0" fillId="5" borderId="0" xfId="0" applyFill="1" applyBorder="1"/>
    <xf numFmtId="0" fontId="0" fillId="29" borderId="0" xfId="0" applyFill="1" applyBorder="1"/>
    <xf numFmtId="0" fontId="3" fillId="23" borderId="0" xfId="0" applyFont="1" applyFill="1" applyBorder="1" applyAlignment="1">
      <alignment horizontal="center"/>
    </xf>
    <xf numFmtId="0" fontId="0" fillId="5" borderId="0" xfId="0" applyFill="1" applyBorder="1"/>
    <xf numFmtId="0" fontId="3" fillId="24" borderId="0" xfId="0" applyFont="1" applyFill="1" applyBorder="1" applyAlignment="1">
      <alignment horizontal="center"/>
    </xf>
    <xf numFmtId="0" fontId="0" fillId="5" borderId="0" xfId="0" applyFill="1" applyBorder="1"/>
    <xf numFmtId="0" fontId="0" fillId="24" borderId="20" xfId="0" applyFont="1" applyFill="1" applyBorder="1" applyAlignment="1">
      <alignment horizontal="left"/>
    </xf>
    <xf numFmtId="0" fontId="0" fillId="15" borderId="0" xfId="0" applyFill="1" applyBorder="1"/>
    <xf numFmtId="0" fontId="5" fillId="15" borderId="0" xfId="0" applyFont="1" applyFill="1" applyBorder="1" applyAlignment="1">
      <alignment horizontal="right" vertical="center" wrapText="1"/>
    </xf>
    <xf numFmtId="0" fontId="0" fillId="15" borderId="0" xfId="0" applyNumberFormat="1" applyFill="1" applyBorder="1"/>
    <xf numFmtId="0" fontId="5" fillId="15" borderId="0" xfId="0" applyNumberFormat="1" applyFont="1" applyFill="1" applyBorder="1" applyAlignment="1">
      <alignment horizontal="right" vertical="center" wrapText="1"/>
    </xf>
    <xf numFmtId="0" fontId="18" fillId="24" borderId="20" xfId="0" applyFont="1" applyFill="1" applyBorder="1"/>
    <xf numFmtId="0" fontId="0" fillId="0" borderId="0" xfId="0" applyNumberFormat="1" applyFont="1" applyFill="1" applyBorder="1" applyProtection="1">
      <protection locked="0"/>
    </xf>
    <xf numFmtId="0" fontId="0" fillId="15" borderId="9" xfId="0" applyNumberFormat="1" applyFill="1" applyBorder="1"/>
    <xf numFmtId="0" fontId="0" fillId="15" borderId="14" xfId="0" applyNumberFormat="1" applyFill="1" applyBorder="1"/>
    <xf numFmtId="0" fontId="19" fillId="5" borderId="0" xfId="0" applyFont="1" applyFill="1" applyBorder="1"/>
    <xf numFmtId="3" fontId="0" fillId="0" borderId="0" xfId="0" applyNumberFormat="1" applyFill="1" applyBorder="1"/>
    <xf numFmtId="0" fontId="6" fillId="0" borderId="8" xfId="0" applyFont="1" applyBorder="1"/>
    <xf numFmtId="0" fontId="4" fillId="0" borderId="0" xfId="0" applyFont="1" applyFill="1" applyBorder="1"/>
    <xf numFmtId="0" fontId="4" fillId="5" borderId="0" xfId="0" applyFont="1" applyFill="1" applyBorder="1"/>
    <xf numFmtId="0" fontId="13" fillId="0" borderId="0" xfId="0" applyNumberFormat="1" applyFont="1" applyBorder="1" applyProtection="1">
      <protection locked="0"/>
    </xf>
    <xf numFmtId="0" fontId="13" fillId="0" borderId="0" xfId="0" applyNumberFormat="1" applyFont="1" applyFill="1" applyBorder="1"/>
    <xf numFmtId="0" fontId="4" fillId="26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wrapText="1"/>
    </xf>
    <xf numFmtId="0" fontId="0" fillId="16" borderId="0" xfId="0" applyNumberFormat="1" applyFill="1" applyBorder="1"/>
    <xf numFmtId="0" fontId="0" fillId="20" borderId="0" xfId="0" applyNumberFormat="1" applyFill="1" applyBorder="1"/>
    <xf numFmtId="0" fontId="0" fillId="17" borderId="0" xfId="0" applyNumberFormat="1" applyFill="1" applyBorder="1"/>
    <xf numFmtId="0" fontId="0" fillId="14" borderId="0" xfId="0" applyNumberFormat="1" applyFill="1" applyBorder="1"/>
    <xf numFmtId="0" fontId="0" fillId="5" borderId="0" xfId="0" applyFill="1" applyBorder="1" applyAlignment="1">
      <alignment horizontal="right"/>
    </xf>
    <xf numFmtId="0" fontId="3" fillId="24" borderId="0" xfId="0" applyFont="1" applyFill="1" applyBorder="1" applyAlignment="1">
      <alignment horizontal="center" wrapText="1"/>
    </xf>
    <xf numFmtId="0" fontId="0" fillId="5" borderId="0" xfId="0" applyFill="1" applyBorder="1"/>
    <xf numFmtId="0" fontId="19" fillId="30" borderId="0" xfId="0" applyFont="1" applyFill="1"/>
    <xf numFmtId="0" fontId="18" fillId="24" borderId="20" xfId="0" applyFont="1" applyFill="1" applyBorder="1" applyAlignment="1">
      <alignment horizontal="lef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/>
    <xf numFmtId="0" fontId="18" fillId="0" borderId="0" xfId="0" applyFont="1" applyBorder="1"/>
    <xf numFmtId="3" fontId="18" fillId="0" borderId="0" xfId="0" applyNumberFormat="1" applyFont="1" applyBorder="1"/>
    <xf numFmtId="3" fontId="18" fillId="26" borderId="0" xfId="0" applyNumberFormat="1" applyFont="1" applyFill="1" applyBorder="1"/>
    <xf numFmtId="3" fontId="18" fillId="0" borderId="0" xfId="0" applyNumberFormat="1" applyFont="1" applyFill="1" applyBorder="1"/>
    <xf numFmtId="0" fontId="18" fillId="0" borderId="0" xfId="0" applyFont="1" applyFill="1" applyBorder="1"/>
    <xf numFmtId="0" fontId="18" fillId="27" borderId="0" xfId="0" applyFont="1" applyFill="1" applyBorder="1"/>
    <xf numFmtId="0" fontId="18" fillId="15" borderId="0" xfId="0" applyFont="1" applyFill="1" applyBorder="1"/>
    <xf numFmtId="0" fontId="18" fillId="0" borderId="0" xfId="0" applyFont="1" applyBorder="1" applyProtection="1">
      <protection locked="0"/>
    </xf>
    <xf numFmtId="0" fontId="2" fillId="30" borderId="0" xfId="0" applyFont="1" applyFill="1"/>
    <xf numFmtId="0" fontId="3" fillId="24" borderId="0" xfId="0" applyFont="1" applyFill="1" applyBorder="1" applyAlignment="1">
      <alignment horizontal="center" wrapText="1"/>
    </xf>
    <xf numFmtId="0" fontId="0" fillId="5" borderId="0" xfId="0" applyFill="1" applyBorder="1"/>
    <xf numFmtId="0" fontId="0" fillId="9" borderId="6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center" wrapText="1"/>
    </xf>
    <xf numFmtId="0" fontId="0" fillId="5" borderId="0" xfId="0" applyFill="1" applyBorder="1"/>
    <xf numFmtId="0" fontId="21" fillId="24" borderId="20" xfId="0" applyFont="1" applyFill="1" applyBorder="1"/>
    <xf numFmtId="0" fontId="21" fillId="0" borderId="0" xfId="0" applyNumberFormat="1" applyFont="1" applyBorder="1"/>
    <xf numFmtId="0" fontId="22" fillId="0" borderId="0" xfId="0" applyNumberFormat="1" applyFont="1" applyBorder="1"/>
    <xf numFmtId="3" fontId="21" fillId="0" borderId="0" xfId="0" applyNumberFormat="1" applyFont="1" applyBorder="1" applyProtection="1">
      <protection locked="0"/>
    </xf>
    <xf numFmtId="3" fontId="21" fillId="0" borderId="0" xfId="0" applyNumberFormat="1" applyFont="1" applyBorder="1"/>
    <xf numFmtId="0" fontId="21" fillId="15" borderId="0" xfId="0" applyNumberFormat="1" applyFont="1" applyFill="1" applyBorder="1"/>
    <xf numFmtId="0" fontId="21" fillId="15" borderId="0" xfId="0" applyFont="1" applyFill="1" applyBorder="1"/>
    <xf numFmtId="0" fontId="21" fillId="0" borderId="0" xfId="0" applyFont="1" applyFill="1" applyProtection="1">
      <protection locked="0"/>
    </xf>
    <xf numFmtId="0" fontId="0" fillId="11" borderId="0" xfId="0" applyNumberFormat="1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 applyProtection="1">
      <protection locked="0"/>
    </xf>
    <xf numFmtId="1" fontId="0" fillId="0" borderId="0" xfId="0" applyNumberFormat="1" applyFont="1" applyBorder="1"/>
    <xf numFmtId="1" fontId="18" fillId="0" borderId="0" xfId="0" applyNumberFormat="1" applyFont="1" applyBorder="1"/>
    <xf numFmtId="0" fontId="3" fillId="24" borderId="0" xfId="0" applyFont="1" applyFill="1" applyBorder="1" applyAlignment="1">
      <alignment horizontal="center" wrapText="1"/>
    </xf>
    <xf numFmtId="0" fontId="0" fillId="5" borderId="0" xfId="0" applyFill="1" applyBorder="1"/>
    <xf numFmtId="0" fontId="3" fillId="24" borderId="0" xfId="0" applyFont="1" applyFill="1" applyBorder="1" applyAlignment="1">
      <alignment horizontal="center" wrapText="1"/>
    </xf>
    <xf numFmtId="0" fontId="0" fillId="5" borderId="0" xfId="0" applyFill="1" applyBorder="1"/>
    <xf numFmtId="3" fontId="6" fillId="31" borderId="8" xfId="0" applyNumberFormat="1" applyFont="1" applyFill="1" applyBorder="1"/>
    <xf numFmtId="0" fontId="22" fillId="0" borderId="0" xfId="0" applyNumberFormat="1" applyFont="1" applyFill="1" applyBorder="1"/>
    <xf numFmtId="0" fontId="21" fillId="0" borderId="0" xfId="0" applyNumberFormat="1" applyFont="1" applyFill="1" applyBorder="1"/>
    <xf numFmtId="0" fontId="21" fillId="0" borderId="0" xfId="0" applyFont="1" applyBorder="1"/>
    <xf numFmtId="3" fontId="21" fillId="0" borderId="0" xfId="0" applyNumberFormat="1" applyFont="1" applyFill="1" applyBorder="1"/>
    <xf numFmtId="3" fontId="21" fillId="26" borderId="0" xfId="0" applyNumberFormat="1" applyFont="1" applyFill="1" applyBorder="1"/>
    <xf numFmtId="0" fontId="21" fillId="27" borderId="0" xfId="0" applyFont="1" applyFill="1" applyBorder="1"/>
    <xf numFmtId="0" fontId="2" fillId="32" borderId="0" xfId="0" applyFont="1" applyFill="1"/>
    <xf numFmtId="0" fontId="0" fillId="27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3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5" borderId="0" xfId="0" applyFill="1" applyBorder="1"/>
    <xf numFmtId="0" fontId="8" fillId="3" borderId="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 wrapText="1"/>
    </xf>
    <xf numFmtId="0" fontId="6" fillId="28" borderId="0" xfId="0" applyFont="1" applyFill="1" applyAlignment="1">
      <alignment horizontal="left"/>
    </xf>
    <xf numFmtId="0" fontId="0" fillId="0" borderId="6" xfId="0" applyFont="1" applyBorder="1" applyProtection="1">
      <protection locked="0"/>
    </xf>
    <xf numFmtId="0" fontId="0" fillId="0" borderId="8" xfId="0" applyFont="1" applyBorder="1"/>
    <xf numFmtId="0" fontId="0" fillId="9" borderId="6" xfId="0" applyFont="1" applyFill="1" applyBorder="1"/>
    <xf numFmtId="0" fontId="0" fillId="27" borderId="6" xfId="0" applyFont="1" applyFill="1" applyBorder="1" applyAlignment="1">
      <alignment horizontal="right" vertical="center" wrapText="1"/>
    </xf>
    <xf numFmtId="0" fontId="0" fillId="15" borderId="6" xfId="0" applyFont="1" applyFill="1" applyBorder="1" applyAlignment="1">
      <alignment horizontal="right" vertical="center" wrapText="1"/>
    </xf>
    <xf numFmtId="0" fontId="0" fillId="10" borderId="6" xfId="0" applyFont="1" applyFill="1" applyBorder="1" applyAlignment="1">
      <alignment horizontal="right" vertical="center" wrapText="1"/>
    </xf>
    <xf numFmtId="0" fontId="0" fillId="14" borderId="6" xfId="0" applyFont="1" applyFill="1" applyBorder="1" applyAlignment="1">
      <alignment horizontal="right" vertical="center" wrapText="1"/>
    </xf>
  </cellXfs>
  <cellStyles count="1">
    <cellStyle name="Standard" xfId="0" builtinId="0"/>
  </cellStyles>
  <dxfs count="2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0" formatCode="General"/>
      <fill>
        <patternFill patternType="solid">
          <fgColor indexed="64"/>
          <bgColor theme="0" tint="-0.249977111117893"/>
        </patternFill>
      </fill>
    </dxf>
    <dxf>
      <numFmt numFmtId="3" formatCode="#,##0"/>
    </dxf>
    <dxf>
      <numFmt numFmtId="0" formatCode="General"/>
    </dxf>
    <dxf>
      <numFmt numFmtId="0" formatCode="General"/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numFmt numFmtId="0" formatCode="General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00000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>
        <left/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numFmt numFmtId="0" formatCode="General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C00000"/>
        </patternFill>
      </fill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F604FA"/>
      <color rgb="FFFF7E79"/>
      <color rgb="FFEC93E8"/>
      <color rgb="FFF3D0F3"/>
      <color rgb="FF9BEBDC"/>
      <color rgb="FFFF2600"/>
      <color rgb="FF73FEFF"/>
      <color rgb="FFFF8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50618</xdr:colOff>
      <xdr:row>0</xdr:row>
      <xdr:rowOff>56444</xdr:rowOff>
    </xdr:from>
    <xdr:to>
      <xdr:col>35</xdr:col>
      <xdr:colOff>14113</xdr:colOff>
      <xdr:row>5</xdr:row>
      <xdr:rowOff>185836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BD7D83B-2DA3-1E47-8AFC-D4921BA8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41840" y="56444"/>
          <a:ext cx="2672828" cy="1371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65159</xdr:colOff>
      <xdr:row>0</xdr:row>
      <xdr:rowOff>0</xdr:rowOff>
    </xdr:from>
    <xdr:to>
      <xdr:col>42</xdr:col>
      <xdr:colOff>786850</xdr:colOff>
      <xdr:row>5</xdr:row>
      <xdr:rowOff>46043</xdr:rowOff>
    </xdr:to>
    <xdr:pic>
      <xdr:nvPicPr>
        <xdr:cNvPr id="3" name="Billede 1">
          <a:extLst>
            <a:ext uri="{FF2B5EF4-FFF2-40B4-BE49-F238E27FC236}">
              <a16:creationId xmlns:a16="http://schemas.microsoft.com/office/drawing/2014/main" id="{C8563DE0-7198-FD47-9A3B-1345D998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66789" y="51905"/>
          <a:ext cx="2516256" cy="13298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88900</xdr:colOff>
      <xdr:row>0</xdr:row>
      <xdr:rowOff>25400</xdr:rowOff>
    </xdr:from>
    <xdr:to>
      <xdr:col>17</xdr:col>
      <xdr:colOff>355600</xdr:colOff>
      <xdr:row>5</xdr:row>
      <xdr:rowOff>200658</xdr:rowOff>
    </xdr:to>
    <xdr:pic>
      <xdr:nvPicPr>
        <xdr:cNvPr id="3" name="Billede 1">
          <a:extLst>
            <a:ext uri="{FF2B5EF4-FFF2-40B4-BE49-F238E27FC236}">
              <a16:creationId xmlns:a16="http://schemas.microsoft.com/office/drawing/2014/main" id="{FE5BD15A-6002-E74E-9857-9478A684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67800" y="25400"/>
          <a:ext cx="2743200" cy="14452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0000000}" name="Tabel6485121722" displayName="Tabel6485121722" ref="B32:E45" totalsRowShown="0" headerRowDxfId="241" headerRowBorderDxfId="240" tableBorderDxfId="239">
  <autoFilter ref="B32:E45" xr:uid="{00000000-0009-0000-0100-000015000000}"/>
  <sortState xmlns:xlrd2="http://schemas.microsoft.com/office/spreadsheetml/2017/richdata2" ref="B33:E45">
    <sortCondition ref="B32:B45"/>
  </sortState>
  <tableColumns count="4">
    <tableColumn id="1" xr3:uid="{00000000-0010-0000-0000-000001000000}" name="Rang" dataDxfId="238">
      <calculatedColumnFormula>RANK(Tabel6485121722[[#This Row],[Punkte]],Tabel6485121722[Punkte],0)</calculatedColumnFormula>
    </tableColumn>
    <tableColumn id="2" xr3:uid="{00000000-0010-0000-0000-000002000000}" name="Club"/>
    <tableColumn id="3" xr3:uid="{00000000-0010-0000-0000-000003000000}" name="Anz. SpielerInnen" dataDxfId="237">
      <calculatedColumnFormula>SUM(COUNTIF('&gt; Open &lt;'!$E$7:$E$10043,Tabel6485121722[[#This Row],[Club]]),COUNTIF('&gt; Women &lt;'!$E$7:$E$9977,Tabel6485121722[[#This Row],[Club]]))</calculatedColumnFormula>
    </tableColumn>
    <tableColumn id="4" xr3:uid="{00000000-0010-0000-0000-000004000000}" name="Punkte" dataDxfId="236">
      <calculatedColumnFormula>SUM(SUMIF('&gt; Open &lt;'!$E$7:$E$10043,Tabel6485121722[[#This Row],[Club]],'&gt; Open &lt;'!$F$7),SUMIF('&gt; Women &lt;'!$E$7:$E$9977,Tabel6485121722[[#This Row],[Club]],'&gt; Women &lt;'!$F$7))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64851213163" displayName="Tabel64851213163" ref="B6:E16" totalsRowShown="0" headerRowDxfId="235" dataDxfId="233" headerRowBorderDxfId="234" tableBorderDxfId="232">
  <autoFilter ref="B6:E16" xr:uid="{00000000-0009-0000-0100-000002000000}"/>
  <sortState xmlns:xlrd2="http://schemas.microsoft.com/office/spreadsheetml/2017/richdata2" ref="B7:E16">
    <sortCondition ref="B6:B16"/>
  </sortState>
  <tableColumns count="4">
    <tableColumn id="1" xr3:uid="{00000000-0010-0000-0100-000001000000}" name="PR Rang" dataDxfId="231">
      <calculatedColumnFormula>RANK(Tabel64851213163[[#This Row],[Punkte]],Tabel64851213163[Punkte],0)</calculatedColumnFormula>
    </tableColumn>
    <tableColumn id="2" xr3:uid="{00000000-0010-0000-0100-000002000000}" name="Spieler" dataDxfId="230">
      <calculatedColumnFormula>'&gt; Open &lt;'!D7</calculatedColumnFormula>
    </tableColumn>
    <tableColumn id="3" xr3:uid="{00000000-0010-0000-0100-000003000000}" name="Club" dataDxfId="229">
      <calculatedColumnFormula>'&gt; Open &lt;'!E7</calculatedColumnFormula>
    </tableColumn>
    <tableColumn id="4" xr3:uid="{00000000-0010-0000-0100-000004000000}" name="Punkte" dataDxfId="228">
      <calculatedColumnFormula>'&gt; Open &lt;'!F7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6485121316348" displayName="Tabel6485121316348" ref="B19:E29" totalsRowShown="0" headerRowDxfId="227" dataDxfId="225" headerRowBorderDxfId="226" tableBorderDxfId="224">
  <autoFilter ref="B19:E29" xr:uid="{00000000-0009-0000-0100-000007000000}"/>
  <sortState xmlns:xlrd2="http://schemas.microsoft.com/office/spreadsheetml/2017/richdata2" ref="B20:E29">
    <sortCondition ref="B19:B29"/>
  </sortState>
  <tableColumns count="4">
    <tableColumn id="1" xr3:uid="{00000000-0010-0000-0200-000001000000}" name="Rang" dataDxfId="223">
      <calculatedColumnFormula>RANK(Tabel6485121316348[[#This Row],[Punkte]],Tabel6485121316348[Punkte],0)</calculatedColumnFormula>
    </tableColumn>
    <tableColumn id="2" xr3:uid="{00000000-0010-0000-0200-000002000000}" name="Spielerin" dataDxfId="222">
      <calculatedColumnFormula>'&gt; Women &lt;'!D7</calculatedColumnFormula>
    </tableColumn>
    <tableColumn id="3" xr3:uid="{00000000-0010-0000-0200-000003000000}" name="Club" dataDxfId="221">
      <calculatedColumnFormula>'&gt; Women &lt;'!E7</calculatedColumnFormula>
    </tableColumn>
    <tableColumn id="4" xr3:uid="{00000000-0010-0000-0200-000004000000}" name="Punkte" dataDxfId="220">
      <calculatedColumnFormula>'&gt; Women &lt;'!F7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3000000}" name="Open" displayName="Open" ref="A6:AF361" headerRowDxfId="35" headerRowBorderDxfId="34">
  <autoFilter ref="A6:AF361" xr:uid="{00000000-0009-0000-0100-00004D000000}"/>
  <sortState xmlns:xlrd2="http://schemas.microsoft.com/office/spreadsheetml/2017/richdata2" ref="A7:AF361">
    <sortCondition ref="C6:C361"/>
  </sortState>
  <tableColumns count="32">
    <tableColumn id="2" xr3:uid="{00000000-0010-0000-0300-000002000000}" name="PR Rang beim letzten Turnier" dataDxfId="33"/>
    <tableColumn id="36" xr3:uid="{00000000-0010-0000-0300-000024000000}" name="Tendenz" dataDxfId="31" totalsRowDxfId="32">
      <calculatedColumnFormula>IF(Open[[#This Row],[PR Rang beim letzten Turnier]]&gt;Open[[#This Row],[PR Rang]],1,IF(Open[[#This Row],[PR Rang beim letzten Turnier]]=Open[[#This Row],[PR Rang]],0,-1))</calculatedColumnFormula>
    </tableColumn>
    <tableColumn id="20" xr3:uid="{00000000-0010-0000-0300-000014000000}" name="PR Rang" dataDxfId="30">
      <calculatedColumnFormula>RANK(Open[[#This Row],[PR Punkte]],Open[PR Punkte],0)</calculatedColumnFormula>
    </tableColumn>
    <tableColumn id="1" xr3:uid="{00000000-0010-0000-0300-000001000000}" name="Name" dataDxfId="28" totalsRowDxfId="29"/>
    <tableColumn id="4" xr3:uid="{00000000-0010-0000-0300-000004000000}" name="Club" dataDxfId="27"/>
    <tableColumn id="13" xr3:uid="{00000000-0010-0000-0300-00000D000000}" name="PR Punkte" dataDxfId="26">
      <calculatedColumnFormula>SUM(Open[[#This Row],[PR 1]:[PR 3]])</calculatedColumnFormula>
    </tableColumn>
    <tableColumn id="35" xr3:uid="{00000000-0010-0000-0300-000023000000}" name="PR 1" dataDxfId="25">
      <calculatedColumnFormula>LARGE(#REF!,1)</calculatedColumnFormula>
    </tableColumn>
    <tableColumn id="22" xr3:uid="{00000000-0010-0000-0300-000016000000}" name="PR 2" dataDxfId="24">
      <calculatedColumnFormula>LARGE(#REF!,2)</calculatedColumnFormula>
    </tableColumn>
    <tableColumn id="15" xr3:uid="{00000000-0010-0000-0300-00000F000000}" name="PR 3" dataDxfId="23">
      <calculatedColumnFormula>LARGE(#REF!,3)</calculatedColumnFormula>
    </tableColumn>
    <tableColumn id="23" xr3:uid="{00000000-0010-0000-0300-000017000000}" name="CR Rang" dataDxfId="22">
      <calculatedColumnFormula>RANK(K7,$K$7:$K$361,0)</calculatedColumnFormula>
    </tableColumn>
    <tableColumn id="3" xr3:uid="{00000000-0010-0000-0300-000003000000}" name="CR Punkte" dataDxfId="21">
      <calculatedColumnFormula>SUM(L7:W7)</calculatedColumnFormula>
    </tableColumn>
    <tableColumn id="19" xr3:uid="{00000000-0010-0000-0300-000013000000}" name="TS SH O 22.02.22" dataDxfId="20"/>
    <tableColumn id="18" xr3:uid="{00000000-0010-0000-0300-000012000000}" name="TS SH O 23.04.22" dataDxfId="19">
      <calculatedColumnFormula>IFERROR(VLOOKUP(Open[[#This Row],[TS SH O 23.04.22 Rang]],$AJ$16:$AK$111,2,0)*M$5," ")</calculatedColumnFormula>
    </tableColumn>
    <tableColumn id="16" xr3:uid="{00000000-0010-0000-0300-000010000000}" name="TS LA O 08.05.22" dataDxfId="18">
      <calculatedColumnFormula>IFERROR(VLOOKUP(Open[[#This Row],[TS LA O 08.05.22 Rang]],$AJ$16:$AK$111,2,0)*N$5," ")</calculatedColumnFormula>
    </tableColumn>
    <tableColumn id="42" xr3:uid="{2120AC93-ED06-694F-9468-C2441489076B}" name="TS SG O 25.05.22" dataDxfId="17">
      <calculatedColumnFormula>IFERROR(VLOOKUP(Open[[#This Row],[TS SG O 25.05.22 Rang]],$AJ$16:$AK$111,2,0)*O$5," ")</calculatedColumnFormula>
    </tableColumn>
    <tableColumn id="5" xr3:uid="{7709213E-FAEB-C843-9850-B3F11B0F69DC}" name="TS SH O 25.06.22" dataDxfId="16">
      <calculatedColumnFormula>IFERROR(VLOOKUP(Open[[#This Row],[TS SH O 25.06.22 Rang]],$AJ$16:$AK$111,2,0)*P$5," ")</calculatedColumnFormula>
    </tableColumn>
    <tableColumn id="9" xr3:uid="{56FE60E3-464C-D54D-93BF-1EFF85CA9CCB}" name="TS ZH O/A 25.06.22" dataDxfId="15">
      <calculatedColumnFormula>IFERROR(VLOOKUP(Open[[#This Row],[TS ZH O/A 25.06.22 Rang]],$AJ$16:$AK$111,2,0)*Q$5," ")</calculatedColumnFormula>
    </tableColumn>
    <tableColumn id="30" xr3:uid="{DFF0EAF2-A893-1D46-97B9-F3FF7B3A6B37}" name="TS ZH O/B 25.06.22" dataDxfId="14">
      <calculatedColumnFormula>IFERROR(VLOOKUP(Open[[#This Row],[TS ZH O/B 25.06.22 Rang]],$AJ$16:$AK$111,2,0)*R$5," ")</calculatedColumnFormula>
    </tableColumn>
    <tableColumn id="43" xr3:uid="{2C9D1833-37A4-AB4D-8520-84DA4C2B3F64}" name="SM BE O/A 09.07.22" dataDxfId="13">
      <calculatedColumnFormula>IFERROR(VLOOKUP(Open[[#This Row],[SM BE O/A 09.07.22 Rang]],$AJ$16:$AK$111,2,0)*S$5," ")</calculatedColumnFormula>
    </tableColumn>
    <tableColumn id="46" xr3:uid="{18B4DC05-0FE3-A543-8B2E-D197A7B9C475}" name="SM BE O/B 09.07.22" dataDxfId="12">
      <calculatedColumnFormula>IFERROR(VLOOKUP(Open[[#This Row],[SM BE O/B 09.07.22 Rang]],$AJ$16:$AK$111,2,0)*T$5," ")</calculatedColumnFormula>
    </tableColumn>
    <tableColumn id="21" xr3:uid="{00000000-0010-0000-0300-000015000000}" name="PR" dataDxfId="11"/>
    <tableColumn id="14" xr3:uid="{00000000-0010-0000-0300-00000E000000}" name="PR2" dataDxfId="10"/>
    <tableColumn id="33" xr3:uid="{00000000-0010-0000-0300-000021000000}" name="PR3" dataDxfId="9"/>
    <tableColumn id="27" xr3:uid="{00000000-0010-0000-0300-00001B000000}" name="TS SH 22.02.22 Rang" dataDxfId="8"/>
    <tableColumn id="37" xr3:uid="{00000000-0010-0000-0300-000025000000}" name="TS SH O 23.04.22 Rang" dataDxfId="7"/>
    <tableColumn id="38" xr3:uid="{00000000-0010-0000-0300-000026000000}" name="TS LA O 08.05.22 Rang" dataDxfId="6"/>
    <tableColumn id="39" xr3:uid="{77B4E518-BC04-E142-93A7-00E4A01CC363}" name="TS SG O 25.05.22 Rang" dataDxfId="5"/>
    <tableColumn id="6" xr3:uid="{0ACB50CA-D611-514F-A91F-8A047B970FDA}" name="TS SH O 25.06.22 Rang" dataDxfId="4">
      <calculatedColumnFormula>VLOOKUP(Open[[#This Row],[Name]],#REF!,2,FALSE)</calculatedColumnFormula>
    </tableColumn>
    <tableColumn id="31" xr3:uid="{0925DCA0-27EE-9D45-A4A1-1360AD80608F}" name="TS ZH O/A 25.06.22 Rang" dataDxfId="3">
      <calculatedColumnFormula>VLOOKUP(Open[[#This Row],[Name]],$AW$8:$AX$45,2,FALSE)</calculatedColumnFormula>
    </tableColumn>
    <tableColumn id="32" xr3:uid="{54474118-FCB3-5D4C-B7DC-3F3B6DECAEEE}" name="TS ZH O/B 25.06.22 Rang" dataDxfId="2">
      <calculatedColumnFormula>VLOOKUP(Open[[#This Row],[Name]],$AW$48:$AX$59,2,FALSE)</calculatedColumnFormula>
    </tableColumn>
    <tableColumn id="44" xr3:uid="{51BF78DC-8BFC-744C-AD45-534BE791F5B1}" name="SM BE O/A 09.07.22 Rang" dataDxfId="1"/>
    <tableColumn id="45" xr3:uid="{69283256-4F8E-1D4A-A370-594A92532671}" name="SM BE O/B 09.07.22 Rang" dataDxfId="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4000000}" name="Tabel6487357616771737779" displayName="Tabel6487357616771737779" ref="AM35:AP48" totalsRowShown="0" headerRowDxfId="219" dataDxfId="218" tableBorderDxfId="217">
  <autoFilter ref="AM35:AP48" xr:uid="{00000000-0009-0000-0100-00004E000000}"/>
  <sortState xmlns:xlrd2="http://schemas.microsoft.com/office/spreadsheetml/2017/richdata2" ref="AM36:AP48">
    <sortCondition ref="AM35:AM48"/>
  </sortState>
  <tableColumns count="4">
    <tableColumn id="1" xr3:uid="{00000000-0010-0000-0400-000001000000}" name="Rang" dataDxfId="216">
      <calculatedColumnFormula>RANK(AP36,$AP$36:$AP$48,0)</calculatedColumnFormula>
    </tableColumn>
    <tableColumn id="2" xr3:uid="{00000000-0010-0000-0400-000002000000}" name="Club" dataDxfId="215"/>
    <tableColumn id="3" xr3:uid="{00000000-0010-0000-0400-000003000000}" name="Anz. SpielerInnen" dataDxfId="214">
      <calculatedColumnFormula>COUNTIF(Open[Club],Tabel6487357616771737779[[#This Row],[Club]])</calculatedColumnFormula>
    </tableColumn>
    <tableColumn id="4" xr3:uid="{00000000-0010-0000-0400-000004000000}" name="Punkte" dataDxfId="213">
      <calculatedColumnFormula>SUMIF(Open[Club],Tabel6487357616771737779[[#This Row],[Club]],$F$7)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5000000}" name="Women" displayName="Women" ref="A6:AN108" headerRowDxfId="212" headerRowBorderDxfId="211">
  <autoFilter ref="A6:AN108" xr:uid="{00000000-0009-0000-0100-00004F000000}"/>
  <sortState xmlns:xlrd2="http://schemas.microsoft.com/office/spreadsheetml/2017/richdata2" ref="A7:AN107">
    <sortCondition ref="C6:C107"/>
  </sortState>
  <tableColumns count="40">
    <tableColumn id="2" xr3:uid="{00000000-0010-0000-0500-000002000000}" name="PR Rang beim letzten Turnier" dataDxfId="210" totalsRowDxfId="209"/>
    <tableColumn id="23" xr3:uid="{00000000-0010-0000-0500-000017000000}" name="Tendenz" dataDxfId="208" totalsRowDxfId="207">
      <calculatedColumnFormula>IF(Women[[#This Row],[PR Rang beim letzten Turnier]]&gt;Women[[#This Row],[PR Rang]],1,IF(Women[[#This Row],[PR Rang]]=Women[[#This Row],[PR Rang beim letzten Turnier]],0,-1))</calculatedColumnFormula>
    </tableColumn>
    <tableColumn id="22" xr3:uid="{00000000-0010-0000-0500-000016000000}" name="PR Rang" dataDxfId="206" totalsRowDxfId="205">
      <calculatedColumnFormula>RANK(Women[[#This Row],[PR Punkte]],Women[PR Punkte],0)</calculatedColumnFormula>
    </tableColumn>
    <tableColumn id="39" xr3:uid="{00000000-0010-0000-0500-000027000000}" name="Name" dataDxfId="204" totalsRowDxfId="203"/>
    <tableColumn id="4" xr3:uid="{00000000-0010-0000-0500-000004000000}" name="Club" dataDxfId="202"/>
    <tableColumn id="40" xr3:uid="{00000000-0010-0000-0500-000028000000}" name="PR Punkte" dataDxfId="201">
      <calculatedColumnFormula>SUM(Women[[#This Row],[PR 1]:[PR 3]])</calculatedColumnFormula>
    </tableColumn>
    <tableColumn id="44" xr3:uid="{00000000-0010-0000-0500-00002C000000}" name="PR 1" dataDxfId="200">
      <calculatedColumnFormula>LARGE(#REF!,1)</calculatedColumnFormula>
    </tableColumn>
    <tableColumn id="43" xr3:uid="{00000000-0010-0000-0500-00002B000000}" name="PR 2" dataDxfId="199">
      <calculatedColumnFormula>LARGE(#REF!,2)</calculatedColumnFormula>
    </tableColumn>
    <tableColumn id="42" xr3:uid="{00000000-0010-0000-0500-00002A000000}" name="PR 3" dataDxfId="198">
      <calculatedColumnFormula>LARGE(#REF!,3)</calculatedColumnFormula>
    </tableColumn>
    <tableColumn id="37" xr3:uid="{00000000-0010-0000-0500-000025000000}" name="CR Rang" dataDxfId="197">
      <calculatedColumnFormula>RANK(K7,$K$7:$K$108,0)</calculatedColumnFormula>
    </tableColumn>
    <tableColumn id="3" xr3:uid="{00000000-0010-0000-0500-000003000000}" name="CR Punkte" dataDxfId="196">
      <calculatedColumnFormula>SUM(L7:AA7)</calculatedColumnFormula>
    </tableColumn>
    <tableColumn id="34" xr3:uid="{00000000-0010-0000-0500-000022000000}" name="TS SH O 22.02.22" dataDxfId="195">
      <calculatedColumnFormula>IFERROR(VLOOKUP(Women[[#This Row],[TS SH O 22.02.22 Rang]],$AU$15:$AV$72,2,0)*L$5," ")</calculatedColumnFormula>
    </tableColumn>
    <tableColumn id="16" xr3:uid="{00000000-0010-0000-0500-000010000000}" name="TS SH W 22.02.22" dataDxfId="194">
      <calculatedColumnFormula>IFERROR(VLOOKUP(Women[[#This Row],[TS SH W 22.02.22 Rang]],$AR$15:$AS$72,2,0)*M$5," ")</calculatedColumnFormula>
    </tableColumn>
    <tableColumn id="1" xr3:uid="{00000000-0010-0000-0500-000001000000}" name="TS LU W 12.03.22" dataDxfId="193">
      <calculatedColumnFormula>IFERROR(VLOOKUP(Women[[#This Row],[TS LU W 12.03.22 Rang]],$AR$15:$AS$72,2,0)*N$5," ")</calculatedColumnFormula>
    </tableColumn>
    <tableColumn id="24" xr3:uid="{00000000-0010-0000-0500-000018000000}" name="TS SH O 23.04.22" dataDxfId="192">
      <calculatedColumnFormula>IFERROR(VLOOKUP(Women[[#This Row],[TS SH O 23.04.22 Rang]],$AU$15:$AV$72,2,0)*O$5," ")</calculatedColumnFormula>
    </tableColumn>
    <tableColumn id="46" xr3:uid="{00000000-0010-0000-0500-00002E000000}" name="TS LA W 08.05.22" dataDxfId="191">
      <calculatedColumnFormula>IFERROR(VLOOKUP(Women[[#This Row],[TS LA W 08.05.22 Rang]],$AR$15:$AS$72,2,0)*P$5," ")</calculatedColumnFormula>
    </tableColumn>
    <tableColumn id="53" xr3:uid="{352A2948-C468-B445-8589-6E246A6BE716}" name="TS SG O 25.05.22" dataDxfId="190">
      <calculatedColumnFormula>IFERROR(VLOOKUP(Women[[#This Row],[TS SG O 25.05.22 Rang]],$AU$15:$AV$72,2,0)*Q$5," ")</calculatedColumnFormula>
    </tableColumn>
    <tableColumn id="52" xr3:uid="{D1E097B2-D658-0B4F-BE38-6756D7B7E7CE}" name="TS SG W 25.05.22" dataDxfId="189">
      <calculatedColumnFormula>IFERROR(VLOOKUP(Women[[#This Row],[TS SG W 25.05.22 Rang]],$AR$15:$AS$72,2,0)*R$5," ")</calculatedColumnFormula>
    </tableColumn>
    <tableColumn id="6" xr3:uid="{72E45A7F-D607-284A-B5E8-04D69C0C2AE2}" name="TS SH O 25.06.22" dataDxfId="188">
      <calculatedColumnFormula>IFERROR(VLOOKUP(Women[[#This Row],[TS SH O 25.06.22 Rang]],$AU$15:$AV$72,2,0)*$S$5," ")</calculatedColumnFormula>
    </tableColumn>
    <tableColumn id="5" xr3:uid="{BEE15265-0207-6E4C-8EC7-F937339088C6}" name="TS SH W 25.06.22" dataDxfId="136">
      <calculatedColumnFormula>IFERROR(VLOOKUP(Women[[#This Row],[TS SH W 25.06.22 Rang]],$AR$15:$AS$72,2,0)*T$5," ")</calculatedColumnFormula>
    </tableColumn>
    <tableColumn id="36" xr3:uid="{CA44E315-19E7-6F4C-AA3E-77A65B41F677}" name="TS ZH W 02.07.22" dataDxfId="135">
      <calculatedColumnFormula>IFERROR(VLOOKUP(Women[[#This Row],[TS ZH W 02.07.22 Rang]],$AR$15:$AS$72,2,0)*U$5," ")</calculatedColumnFormula>
    </tableColumn>
    <tableColumn id="57" xr3:uid="{63EF5928-3F25-5147-BEC1-EC8E67C6297B}" name="SM BE O/A 09.07.22" dataDxfId="134">
      <calculatedColumnFormula>IFERROR(VLOOKUP(Women[[#This Row],[SM BE O/A 09.07.22 Rang]],$AU$15:$AV$72,2,0)*V5," ")</calculatedColumnFormula>
    </tableColumn>
    <tableColumn id="8" xr3:uid="{D4D01288-332A-7941-AB63-5F68FD6ABBB2}" name="SM BE O/B 09.07.22" dataDxfId="133">
      <calculatedColumnFormula>IFERROR(VLOOKUP(Women[[#This Row],[SM BE O/B 09.07.22 Rang]],$AU$15:$AV$72,2,0)*$W$5," ")</calculatedColumnFormula>
    </tableColumn>
    <tableColumn id="55" xr3:uid="{3A677F5E-AACC-7E40-B06C-5D7F731620F2}" name="SM BE W 09.07.22" dataDxfId="187">
      <calculatedColumnFormula>IFERROR(VLOOKUP(Women[[#This Row],[SM BE W 09.07.22 Rang]],$AR$15:$AS$72,2,0)*X$5," ")</calculatedColumnFormula>
    </tableColumn>
    <tableColumn id="15" xr3:uid="{00000000-0010-0000-0500-00000F000000}" name="PR1" dataDxfId="186"/>
    <tableColumn id="17" xr3:uid="{00000000-0010-0000-0500-000011000000}" name="PR2" dataDxfId="185"/>
    <tableColumn id="30" xr3:uid="{00000000-0010-0000-0500-00001E000000}" name="PR3" dataDxfId="184"/>
    <tableColumn id="11" xr3:uid="{00000000-0010-0000-0500-00000B000000}" name="TS SH O 22.02.22 Rang" dataDxfId="183"/>
    <tableColumn id="38" xr3:uid="{00000000-0010-0000-0500-000026000000}" name="TS SH W 22.02.22 Rang" dataDxfId="182"/>
    <tableColumn id="21" xr3:uid="{00000000-0010-0000-0500-000015000000}" name="TS LU W 12.03.22 Rang" dataDxfId="181"/>
    <tableColumn id="20" xr3:uid="{00000000-0010-0000-0500-000014000000}" name="TS SH O 23.04.22 Rang" dataDxfId="180"/>
    <tableColumn id="47" xr3:uid="{00000000-0010-0000-0500-00002F000000}" name="TS LA W 08.05.22 Rang" dataDxfId="179"/>
    <tableColumn id="54" xr3:uid="{3793688A-9D1F-F44B-AA49-A4AB2F60FCB3}" name="TS SG O 25.05.22 Rang" dataDxfId="178"/>
    <tableColumn id="51" xr3:uid="{33D8BF50-FEB6-DD49-B7CE-316B00779FD0}" name="TS SG W 25.05.22 Rang" dataDxfId="177"/>
    <tableColumn id="9" xr3:uid="{B7DFB5DD-246F-3845-8A78-61B958369D27}" name="TS SH O 25.06.22 Rang" dataDxfId="176"/>
    <tableColumn id="26" xr3:uid="{B5CB7BC4-A4D0-974F-9A7C-5D33E5C84C9C}" name="TS SH W 25.06.22 Rang" dataDxfId="175">
      <calculatedColumnFormula>VLOOKUP(Women[[#This Row],[Name]],#REF!,2,FALSE)</calculatedColumnFormula>
    </tableColumn>
    <tableColumn id="29" xr3:uid="{3F3AEC85-F2F5-6D4B-A870-72AAF8B1C06D}" name="TS ZH W 02.07.22 Rang" dataDxfId="174">
      <calculatedColumnFormula>VLOOKUP(Women[[#This Row],[Name]],$BN$13:$BO$30,2,FALSE)</calculatedColumnFormula>
    </tableColumn>
    <tableColumn id="58" xr3:uid="{A15959B1-BCC3-104C-97A7-50E4DBC3E8BC}" name="SM BE O/A 09.07.22 Rang" dataDxfId="173"/>
    <tableColumn id="7" xr3:uid="{3D451ACA-60BC-8444-933C-F5AD98AE4DD9}" name="SM BE O/B 09.07.22 Rang" dataDxfId="139"/>
    <tableColumn id="56" xr3:uid="{FAEC0755-56C8-DA4E-8F74-3696421C02D8}" name="SM BE W 09.07.22 Rang" dataDxfId="17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el64873576167717377792" displayName="Tabel64873576167717377792" ref="AX33:BA46" totalsRowShown="0" headerRowDxfId="171" dataDxfId="170" tableBorderDxfId="169">
  <autoFilter ref="AX33:BA46" xr:uid="{00000000-0009-0000-0100-000001000000}"/>
  <sortState xmlns:xlrd2="http://schemas.microsoft.com/office/spreadsheetml/2017/richdata2" ref="AX34:BA46">
    <sortCondition ref="AX33:AX46"/>
  </sortState>
  <tableColumns count="4">
    <tableColumn id="1" xr3:uid="{00000000-0010-0000-0600-000001000000}" name="Rang" dataDxfId="168">
      <calculatedColumnFormula>RANK(BA34,Tabel64873576167717377792[Punkte],0)</calculatedColumnFormula>
    </tableColumn>
    <tableColumn id="2" xr3:uid="{00000000-0010-0000-0600-000002000000}" name="Club" dataDxfId="167"/>
    <tableColumn id="3" xr3:uid="{00000000-0010-0000-0600-000003000000}" name="Anz. Spieler" dataDxfId="166">
      <calculatedColumnFormula>COUNTIF(Women[Club],Tabel64873576167717377792[[#This Row],[Club]])</calculatedColumnFormula>
    </tableColumn>
    <tableColumn id="4" xr3:uid="{00000000-0010-0000-0600-000004000000}" name="Punkte" dataDxfId="165">
      <calculatedColumnFormula>SUMIF(Women[Club],Tabel64873576167717377792[[#This Row],[Club]],$F$7)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7000000}" name="Mixed" displayName="Mixed" ref="A6:N172" headerRowDxfId="164" headerRowBorderDxfId="163">
  <autoFilter ref="A6:N172" xr:uid="{00000000-0009-0000-0100-000039000000}"/>
  <sortState xmlns:xlrd2="http://schemas.microsoft.com/office/spreadsheetml/2017/richdata2" ref="A7:N172">
    <sortCondition ref="A6:A172"/>
  </sortState>
  <tableColumns count="14">
    <tableColumn id="1" xr3:uid="{00000000-0010-0000-0700-000001000000}" name="Rang" totalsRowLabel="Total" dataDxfId="162">
      <calculatedColumnFormula>RANK(F7,$F$7:$F$172,0)</calculatedColumnFormula>
    </tableColumn>
    <tableColumn id="2" xr3:uid="{00000000-0010-0000-0700-000002000000}" name="Name" dataDxfId="161" totalsRowDxfId="160"/>
    <tableColumn id="4" xr3:uid="{00000000-0010-0000-0700-000004000000}" name="Club"/>
    <tableColumn id="10" xr3:uid="{00000000-0010-0000-0700-00000A000000}" name="PR Rang" dataDxfId="159">
      <calculatedColumnFormula>IFERROR(VLOOKUP(B7,IF(IFERROR(VLOOKUP(B7,#REF!,5,0),0)&gt;1,#REF!,#REF!),4,0)," ")</calculatedColumnFormula>
    </tableColumn>
    <tableColumn id="11" xr3:uid="{00000000-0010-0000-0700-00000B000000}" name="PR Punkte" dataDxfId="158">
      <calculatedColumnFormula>IFERROR(VLOOKUP(B7,IF(IFERROR(VLOOKUP(B7,'&gt; Women &lt;'!$D$7:$F$1014,2,0),0)&gt;1,'&gt; Women &lt;'!$D$7:$H$1014,'&gt; Open &lt;'!$D$7:$H$1044),3,0)," ")</calculatedColumnFormula>
    </tableColumn>
    <tableColumn id="3" xr3:uid="{00000000-0010-0000-0700-000003000000}" name="CR Punkte" dataDxfId="157">
      <calculatedColumnFormula>SUM(G7:J7)</calculatedColumnFormula>
    </tableColumn>
    <tableColumn id="5" xr3:uid="{00000000-0010-0000-0700-000005000000}" name="SM PO Mi 08.08.21" dataDxfId="156" totalsRowDxfId="155">
      <calculatedColumnFormula>IFERROR(VLOOKUP(Mixed[[#This Row],[SM PO MI Rang]],$P$15:$Q$110,2,0)*G$5,"")</calculatedColumnFormula>
    </tableColumn>
    <tableColumn id="6" xr3:uid="{00000000-0010-0000-0700-000006000000}" name="TS SH Mi 04.09.21" dataDxfId="154">
      <calculatedColumnFormula>IFERROR(VLOOKUP(Mixed[[#This Row],[TS SH MI Rang]],$P$15:$Q$110,2,0)*H$5,"")</calculatedColumnFormula>
    </tableColumn>
    <tableColumn id="7" xr3:uid="{00000000-0010-0000-0700-000007000000}" name="TS BE Mi 11.09.21" dataDxfId="153">
      <calculatedColumnFormula>IFERROR(VLOOKUP(Mixed[[#This Row],[TS BE MI Rang]],$P$15:$Q$110,2,0)*I$5,"")</calculatedColumnFormula>
    </tableColumn>
    <tableColumn id="8" xr3:uid="{D91429B1-2724-1244-8774-0CCCF526ABB3}" name="TS BA Mi 07.05.22" dataDxfId="152">
      <calculatedColumnFormula>IFERROR(VLOOKUP(Mixed[[#This Row],[TS BA Mi 07.05.22 Rang]],$P$15:$Q$110,2,0)*J$5,"")</calculatedColumnFormula>
    </tableColumn>
    <tableColumn id="29" xr3:uid="{00000000-0010-0000-0700-00001D000000}" name="SM PO MI Rang" dataDxfId="151">
      <calculatedColumnFormula>IFERROR(VLOOKUP(Mixed[[#This Row],[Name]],#REF!,4,0),"")</calculatedColumnFormula>
    </tableColumn>
    <tableColumn id="36" xr3:uid="{00000000-0010-0000-0700-000024000000}" name="TS SH MI Rang" dataDxfId="150">
      <calculatedColumnFormula>IFERROR(VLOOKUP(Mixed[[#This Row],[Name]],#REF!,4,0),"")</calculatedColumnFormula>
    </tableColumn>
    <tableColumn id="26" xr3:uid="{00000000-0010-0000-0700-00001A000000}" name="TS BE MI Rang" dataDxfId="149">
      <calculatedColumnFormula>IFERROR(VLOOKUP(Mixed[[#This Row],[Name]],#REF!,4,0),"")</calculatedColumnFormula>
    </tableColumn>
    <tableColumn id="9" xr3:uid="{78AD788D-B7E8-F649-B7ED-2D1ACC8F11A1}" name="TS BA Mi 07.05.22 Rang" dataDxfId="148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08000000}" name="Club_Ranking_Mixed" displayName="Club_Ranking_Mixed" ref="T34:W47" totalsRowShown="0" headerRowDxfId="147" dataDxfId="145" headerRowBorderDxfId="146" tableBorderDxfId="144">
  <autoFilter ref="T34:W47" xr:uid="{00000000-0009-0000-0100-00003A000000}"/>
  <sortState xmlns:xlrd2="http://schemas.microsoft.com/office/spreadsheetml/2017/richdata2" ref="T35:W47">
    <sortCondition ref="T34:T47"/>
  </sortState>
  <tableColumns count="4">
    <tableColumn id="1" xr3:uid="{00000000-0010-0000-0800-000001000000}" name="Rang" dataDxfId="143">
      <calculatedColumnFormula>RANK(V35,$V$35:$V$47,0)</calculatedColumnFormula>
    </tableColumn>
    <tableColumn id="2" xr3:uid="{00000000-0010-0000-0800-000002000000}" name="Club" dataDxfId="142"/>
    <tableColumn id="3" xr3:uid="{00000000-0010-0000-0800-000003000000}" name="Anz. Spielerinnen" dataDxfId="141">
      <calculatedColumnFormula>COUNTIF(Mixed[Club],Club_Ranking_Mixed[[#This Row],[Club]])</calculatedColumnFormula>
    </tableColumn>
    <tableColumn id="4" xr3:uid="{00000000-0010-0000-0800-000004000000}" name="Punkte" dataDxfId="140">
      <calculatedColumnFormula>SUMIF(Mixed[Club],Club_Ranking_Mixed[[#This Row],[Club]],Mixed[CR Punkte])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F69"/>
  <sheetViews>
    <sheetView topLeftCell="A10" zoomScale="125" workbookViewId="0">
      <selection activeCell="A60" sqref="A60"/>
    </sheetView>
  </sheetViews>
  <sheetFormatPr baseColWidth="10" defaultRowHeight="16" x14ac:dyDescent="0.2"/>
  <cols>
    <col min="1" max="1" width="10.83203125" customWidth="1"/>
    <col min="2" max="2" width="11" customWidth="1"/>
    <col min="3" max="3" width="25.6640625" customWidth="1"/>
    <col min="4" max="4" width="16.83203125" customWidth="1"/>
    <col min="5" max="5" width="12.1640625" customWidth="1"/>
    <col min="6" max="6" width="10.83203125" customWidth="1"/>
  </cols>
  <sheetData>
    <row r="1" spans="1:6" s="4" customFormat="1" ht="26" x14ac:dyDescent="0.3">
      <c r="A1" s="283" t="s">
        <v>34</v>
      </c>
      <c r="B1" s="284"/>
      <c r="C1" s="284"/>
      <c r="D1" s="284"/>
      <c r="E1" s="284"/>
      <c r="F1" s="285"/>
    </row>
    <row r="2" spans="1:6" ht="30" customHeight="1" x14ac:dyDescent="0.25">
      <c r="A2" s="91"/>
      <c r="B2" s="92"/>
      <c r="C2" s="92"/>
      <c r="D2" s="92"/>
      <c r="E2" s="92"/>
      <c r="F2" s="93"/>
    </row>
    <row r="3" spans="1:6" ht="30" customHeight="1" x14ac:dyDescent="0.3">
      <c r="A3" s="91"/>
      <c r="B3" s="289" t="s">
        <v>464</v>
      </c>
      <c r="C3" s="289"/>
      <c r="D3" s="289"/>
      <c r="E3" s="289"/>
      <c r="F3" s="93"/>
    </row>
    <row r="4" spans="1:6" ht="16" customHeight="1" x14ac:dyDescent="0.25">
      <c r="A4" s="91"/>
      <c r="B4" s="92"/>
      <c r="C4" s="92"/>
      <c r="D4" s="92"/>
      <c r="E4" s="92"/>
      <c r="F4" s="93"/>
    </row>
    <row r="5" spans="1:6" x14ac:dyDescent="0.2">
      <c r="A5" s="19"/>
      <c r="B5" s="10" t="s">
        <v>463</v>
      </c>
      <c r="C5" s="10"/>
      <c r="D5" s="10"/>
      <c r="E5" s="10"/>
      <c r="F5" s="98"/>
    </row>
    <row r="6" spans="1:6" x14ac:dyDescent="0.2">
      <c r="A6" s="19"/>
      <c r="B6" s="21" t="s">
        <v>393</v>
      </c>
      <c r="C6" s="94" t="s">
        <v>35</v>
      </c>
      <c r="D6" s="94" t="s">
        <v>4</v>
      </c>
      <c r="E6" s="95" t="s">
        <v>6</v>
      </c>
      <c r="F6" s="20"/>
    </row>
    <row r="7" spans="1:6" x14ac:dyDescent="0.2">
      <c r="A7" s="19"/>
      <c r="B7" s="97">
        <f>RANK(Tabel64851213163[[#This Row],[Punkte]],Tabel64851213163[Punkte],0)</f>
        <v>1</v>
      </c>
      <c r="C7" s="11" t="str">
        <f>'&gt; Open &lt;'!D7</f>
        <v>Merlin Baumeler</v>
      </c>
      <c r="D7" s="11" t="str">
        <f>'&gt; Open &lt;'!E7</f>
        <v>Bern</v>
      </c>
      <c r="E7" s="107">
        <f>'&gt; Open &lt;'!F7</f>
        <v>6050</v>
      </c>
      <c r="F7" s="99"/>
    </row>
    <row r="8" spans="1:6" x14ac:dyDescent="0.2">
      <c r="A8" s="19"/>
      <c r="B8" s="97">
        <f>RANK(Tabel64851213163[[#This Row],[Punkte]],Tabel64851213163[Punkte],0)</f>
        <v>1</v>
      </c>
      <c r="C8" s="11" t="str">
        <f>'&gt; Open &lt;'!D8</f>
        <v>Ramon Felix</v>
      </c>
      <c r="D8" s="11" t="str">
        <f>'&gt; Open &lt;'!E8</f>
        <v>Bern</v>
      </c>
      <c r="E8" s="107">
        <f>'&gt; Open &lt;'!F8</f>
        <v>6050</v>
      </c>
      <c r="F8" s="99"/>
    </row>
    <row r="9" spans="1:6" x14ac:dyDescent="0.2">
      <c r="A9" s="19"/>
      <c r="B9" s="97">
        <f>RANK(Tabel64851213163[[#This Row],[Punkte]],Tabel64851213163[Punkte],0)</f>
        <v>3</v>
      </c>
      <c r="C9" s="11" t="str">
        <f>'&gt; Open &lt;'!D9</f>
        <v>Jonas Eigenmann</v>
      </c>
      <c r="D9" s="11" t="str">
        <f>'&gt; Open &lt;'!E9</f>
        <v>St. Gallen</v>
      </c>
      <c r="E9" s="107">
        <f>'&gt; Open &lt;'!F9</f>
        <v>4482</v>
      </c>
      <c r="F9" s="99"/>
    </row>
    <row r="10" spans="1:6" x14ac:dyDescent="0.2">
      <c r="A10" s="19"/>
      <c r="B10" s="97">
        <f>RANK(Tabel64851213163[[#This Row],[Punkte]],Tabel64851213163[Punkte],0)</f>
        <v>3</v>
      </c>
      <c r="C10" s="11" t="str">
        <f>'&gt; Open &lt;'!D10</f>
        <v>Luc Bürki</v>
      </c>
      <c r="D10" s="17" t="str">
        <f>'&gt; Open &lt;'!E10</f>
        <v>St. Gallen</v>
      </c>
      <c r="E10" s="107">
        <f>'&gt; Open &lt;'!F10</f>
        <v>4482</v>
      </c>
      <c r="F10" s="99"/>
    </row>
    <row r="11" spans="1:6" x14ac:dyDescent="0.2">
      <c r="A11" s="19"/>
      <c r="B11" s="97">
        <f>RANK(Tabel64851213163[[#This Row],[Punkte]],Tabel64851213163[Punkte],0)</f>
        <v>5</v>
      </c>
      <c r="C11" s="11" t="str">
        <f>'&gt; Open &lt;'!D11</f>
        <v>Carlo Engel</v>
      </c>
      <c r="D11" s="17" t="str">
        <f>'&gt; Open &lt;'!E11</f>
        <v>Bern</v>
      </c>
      <c r="E11" s="107">
        <f>'&gt; Open &lt;'!F11</f>
        <v>4340</v>
      </c>
      <c r="F11" s="99"/>
    </row>
    <row r="12" spans="1:6" x14ac:dyDescent="0.2">
      <c r="A12" s="19"/>
      <c r="B12" s="97">
        <f>RANK(Tabel64851213163[[#This Row],[Punkte]],Tabel64851213163[Punkte],0)</f>
        <v>6</v>
      </c>
      <c r="C12" s="11" t="str">
        <f>'&gt; Open &lt;'!D12</f>
        <v>Cédric Widin</v>
      </c>
      <c r="D12" s="17" t="str">
        <f>'&gt; Open &lt;'!E12</f>
        <v>Basel</v>
      </c>
      <c r="E12" s="107">
        <f>'&gt; Open &lt;'!F12</f>
        <v>4282</v>
      </c>
      <c r="F12" s="99"/>
    </row>
    <row r="13" spans="1:6" x14ac:dyDescent="0.2">
      <c r="A13" s="19"/>
      <c r="B13" s="97">
        <f>RANK(Tabel64851213163[[#This Row],[Punkte]],Tabel64851213163[Punkte],0)</f>
        <v>7</v>
      </c>
      <c r="C13" s="11" t="str">
        <f>'&gt; Open &lt;'!D13</f>
        <v>Luc Moor</v>
      </c>
      <c r="D13" s="17" t="str">
        <f>'&gt; Open &lt;'!E13</f>
        <v>Bern</v>
      </c>
      <c r="E13" s="107">
        <f>'&gt; Open &lt;'!F13</f>
        <v>3814</v>
      </c>
      <c r="F13" s="99"/>
    </row>
    <row r="14" spans="1:6" x14ac:dyDescent="0.2">
      <c r="A14" s="19"/>
      <c r="B14" s="97">
        <f>RANK(Tabel64851213163[[#This Row],[Punkte]],Tabel64851213163[Punkte],0)</f>
        <v>8</v>
      </c>
      <c r="C14" s="11" t="str">
        <f>'&gt; Open &lt;'!D14</f>
        <v>Laura Kunzelmann</v>
      </c>
      <c r="D14" s="17" t="str">
        <f>'&gt; Open &lt;'!E14</f>
        <v>Basel</v>
      </c>
      <c r="E14" s="107">
        <f>'&gt; Open &lt;'!F14</f>
        <v>2950</v>
      </c>
      <c r="F14" s="99"/>
    </row>
    <row r="15" spans="1:6" x14ac:dyDescent="0.2">
      <c r="A15" s="19"/>
      <c r="B15" s="97">
        <f>RANK(Tabel64851213163[[#This Row],[Punkte]],Tabel64851213163[Punkte],0)</f>
        <v>9</v>
      </c>
      <c r="C15" s="11" t="str">
        <f>'&gt; Open &lt;'!D15</f>
        <v>Daniel Loosli</v>
      </c>
      <c r="D15" s="17" t="str">
        <f>'&gt; Open &lt;'!E15</f>
        <v>Neuenhof</v>
      </c>
      <c r="E15" s="107">
        <f>'&gt; Open &lt;'!F15</f>
        <v>2796</v>
      </c>
      <c r="F15" s="99"/>
    </row>
    <row r="16" spans="1:6" x14ac:dyDescent="0.2">
      <c r="A16" s="19"/>
      <c r="B16" s="97">
        <f>RANK(Tabel64851213163[[#This Row],[Punkte]],Tabel64851213163[Punkte],0)</f>
        <v>10</v>
      </c>
      <c r="C16" s="11" t="str">
        <f>'&gt; Open &lt;'!D16</f>
        <v>Elias Bieri</v>
      </c>
      <c r="D16" s="17" t="str">
        <f>'&gt; Open &lt;'!E16</f>
        <v>Bern</v>
      </c>
      <c r="E16" s="107">
        <f>'&gt; Open &lt;'!F16</f>
        <v>2361.4</v>
      </c>
      <c r="F16" s="99"/>
    </row>
    <row r="17" spans="1:6" ht="30" customHeight="1" x14ac:dyDescent="0.2">
      <c r="A17" s="90"/>
      <c r="B17" s="89"/>
      <c r="C17" s="89"/>
      <c r="D17" s="89"/>
      <c r="E17" s="101"/>
      <c r="F17" s="99"/>
    </row>
    <row r="18" spans="1:6" x14ac:dyDescent="0.2">
      <c r="A18" s="19"/>
      <c r="B18" s="10" t="s">
        <v>444</v>
      </c>
      <c r="C18" s="10"/>
      <c r="D18" s="10"/>
      <c r="E18" s="102"/>
      <c r="F18" s="99"/>
    </row>
    <row r="19" spans="1:6" x14ac:dyDescent="0.2">
      <c r="A19" s="19"/>
      <c r="B19" s="21" t="s">
        <v>5</v>
      </c>
      <c r="C19" s="111" t="s">
        <v>36</v>
      </c>
      <c r="D19" s="111" t="s">
        <v>4</v>
      </c>
      <c r="E19" s="103" t="s">
        <v>6</v>
      </c>
      <c r="F19" s="99"/>
    </row>
    <row r="20" spans="1:6" x14ac:dyDescent="0.2">
      <c r="A20" s="19"/>
      <c r="B20" s="97">
        <f>RANK(Tabel6485121316348[[#This Row],[Punkte]],Tabel6485121316348[Punkte],0)</f>
        <v>1</v>
      </c>
      <c r="C20" s="11" t="str">
        <f>'&gt; Women &lt;'!D7</f>
        <v>Laura Kunzelmann</v>
      </c>
      <c r="D20" s="11" t="str">
        <f>'&gt; Women &lt;'!E7</f>
        <v>Basel</v>
      </c>
      <c r="E20" s="106">
        <f>'&gt; Women &lt;'!F7</f>
        <v>3288.8</v>
      </c>
      <c r="F20" s="99"/>
    </row>
    <row r="21" spans="1:6" x14ac:dyDescent="0.2">
      <c r="A21" s="19"/>
      <c r="B21" s="97">
        <f>RANK(Tabel6485121316348[[#This Row],[Punkte]],Tabel6485121316348[Punkte],0)</f>
        <v>2</v>
      </c>
      <c r="C21" s="11" t="str">
        <f>'&gt; Women &lt;'!D8</f>
        <v>Carole Gassner</v>
      </c>
      <c r="D21" s="11" t="str">
        <f>'&gt; Women &lt;'!E8</f>
        <v>Bern</v>
      </c>
      <c r="E21" s="106">
        <f>'&gt; Women &lt;'!F8</f>
        <v>1100</v>
      </c>
      <c r="F21" s="99"/>
    </row>
    <row r="22" spans="1:6" x14ac:dyDescent="0.2">
      <c r="A22" s="19"/>
      <c r="B22" s="97">
        <f>RANK(Tabel6485121316348[[#This Row],[Punkte]],Tabel6485121316348[Punkte],0)</f>
        <v>3</v>
      </c>
      <c r="C22" s="11" t="str">
        <f>'&gt; Women &lt;'!D9</f>
        <v>Hannah Meier</v>
      </c>
      <c r="D22" s="11" t="str">
        <f>'&gt; Women &lt;'!E9</f>
        <v>Bern</v>
      </c>
      <c r="E22" s="106">
        <f>'&gt; Women &lt;'!F9</f>
        <v>978.2</v>
      </c>
      <c r="F22" s="99"/>
    </row>
    <row r="23" spans="1:6" x14ac:dyDescent="0.2">
      <c r="A23" s="19"/>
      <c r="B23" s="97">
        <f>RANK(Tabel6485121316348[[#This Row],[Punkte]],Tabel6485121316348[Punkte],0)</f>
        <v>4</v>
      </c>
      <c r="C23" s="11" t="str">
        <f>'&gt; Women &lt;'!D10</f>
        <v>Fanny Morax</v>
      </c>
      <c r="D23" s="17" t="str">
        <f>'&gt; Women &lt;'!E10</f>
        <v>Lausanne</v>
      </c>
      <c r="E23" s="106">
        <f>'&gt; Women &lt;'!F10</f>
        <v>951.5</v>
      </c>
      <c r="F23" s="99"/>
    </row>
    <row r="24" spans="1:6" x14ac:dyDescent="0.2">
      <c r="A24" s="19"/>
      <c r="B24" s="97">
        <f>RANK(Tabel6485121316348[[#This Row],[Punkte]],Tabel6485121316348[Punkte],0)</f>
        <v>5</v>
      </c>
      <c r="C24" s="11" t="str">
        <f>'&gt; Women &lt;'!D11</f>
        <v>Freya Levie</v>
      </c>
      <c r="D24" s="17" t="str">
        <f>'&gt; Women &lt;'!E11</f>
        <v>Luzern</v>
      </c>
      <c r="E24" s="106">
        <f>'&gt; Women &lt;'!F11</f>
        <v>901.59999999999991</v>
      </c>
      <c r="F24" s="99"/>
    </row>
    <row r="25" spans="1:6" x14ac:dyDescent="0.2">
      <c r="A25" s="19"/>
      <c r="B25" s="97">
        <f>RANK(Tabel6485121316348[[#This Row],[Punkte]],Tabel6485121316348[Punkte],0)</f>
        <v>6</v>
      </c>
      <c r="C25" s="11" t="str">
        <f>'&gt; Women &lt;'!D12</f>
        <v>Svenja Kunz</v>
      </c>
      <c r="D25" s="17" t="str">
        <f>'&gt; Women &lt;'!E12</f>
        <v>Bern</v>
      </c>
      <c r="E25" s="106">
        <f>'&gt; Women &lt;'!F12</f>
        <v>859.4</v>
      </c>
      <c r="F25" s="99"/>
    </row>
    <row r="26" spans="1:6" x14ac:dyDescent="0.2">
      <c r="A26" s="19"/>
      <c r="B26" s="97">
        <f>RANK(Tabel6485121316348[[#This Row],[Punkte]],Tabel6485121316348[Punkte],0)</f>
        <v>7</v>
      </c>
      <c r="C26" s="11" t="str">
        <f>'&gt; Women &lt;'!D13</f>
        <v>Vivienne Nenz</v>
      </c>
      <c r="D26" s="17" t="str">
        <f>'&gt; Women &lt;'!E13</f>
        <v>Bern</v>
      </c>
      <c r="E26" s="106">
        <f>'&gt; Women &lt;'!F13</f>
        <v>839.90000000000009</v>
      </c>
      <c r="F26" s="99"/>
    </row>
    <row r="27" spans="1:6" x14ac:dyDescent="0.2">
      <c r="A27" s="19"/>
      <c r="B27" s="97">
        <f>RANK(Tabel6485121316348[[#This Row],[Punkte]],Tabel6485121316348[Punkte],0)</f>
        <v>8</v>
      </c>
      <c r="C27" s="11" t="str">
        <f>'&gt; Women &lt;'!D14</f>
        <v>Nora Kunz</v>
      </c>
      <c r="D27" s="17" t="str">
        <f>'&gt; Women &lt;'!E14</f>
        <v>Bern</v>
      </c>
      <c r="E27" s="106">
        <f>'&gt; Women &lt;'!F14</f>
        <v>805.1</v>
      </c>
      <c r="F27" s="99"/>
    </row>
    <row r="28" spans="1:6" x14ac:dyDescent="0.2">
      <c r="A28" s="19"/>
      <c r="B28" s="97">
        <f>RANK(Tabel6485121316348[[#This Row],[Punkte]],Tabel6485121316348[Punkte],0)</f>
        <v>9</v>
      </c>
      <c r="C28" s="11" t="str">
        <f>'&gt; Women &lt;'!D15</f>
        <v>Anna Lea Schindler</v>
      </c>
      <c r="D28" s="17" t="str">
        <f>'&gt; Women &lt;'!E15</f>
        <v>Bern</v>
      </c>
      <c r="E28" s="106">
        <f>'&gt; Women &lt;'!F15</f>
        <v>735.6</v>
      </c>
      <c r="F28" s="99"/>
    </row>
    <row r="29" spans="1:6" x14ac:dyDescent="0.2">
      <c r="A29" s="19"/>
      <c r="B29" s="97">
        <f>RANK(Tabel6485121316348[[#This Row],[Punkte]],Tabel6485121316348[Punkte],0)</f>
        <v>10</v>
      </c>
      <c r="C29" s="11" t="str">
        <f>'&gt; Women &lt;'!D16</f>
        <v>Levke Walczak</v>
      </c>
      <c r="D29" s="17" t="str">
        <f>'&gt; Women &lt;'!E16</f>
        <v>Basel</v>
      </c>
      <c r="E29" s="106">
        <f>'&gt; Women &lt;'!F16</f>
        <v>526.79999999999995</v>
      </c>
      <c r="F29" s="20"/>
    </row>
    <row r="30" spans="1:6" ht="30" customHeight="1" x14ac:dyDescent="0.2">
      <c r="A30" s="19"/>
      <c r="B30" s="175"/>
      <c r="C30" s="175"/>
      <c r="D30" s="175"/>
      <c r="E30" s="104"/>
      <c r="F30" s="20"/>
    </row>
    <row r="31" spans="1:6" x14ac:dyDescent="0.2">
      <c r="A31" s="19"/>
      <c r="B31" s="10" t="s">
        <v>443</v>
      </c>
      <c r="C31" s="10"/>
      <c r="D31" s="10"/>
      <c r="E31" s="102"/>
      <c r="F31" s="20"/>
    </row>
    <row r="32" spans="1:6" x14ac:dyDescent="0.2">
      <c r="A32" s="19"/>
      <c r="B32" s="21" t="s">
        <v>5</v>
      </c>
      <c r="C32" s="111" t="s">
        <v>4</v>
      </c>
      <c r="D32" s="96" t="s">
        <v>442</v>
      </c>
      <c r="E32" s="105" t="s">
        <v>6</v>
      </c>
      <c r="F32" s="20"/>
    </row>
    <row r="33" spans="1:6" x14ac:dyDescent="0.2">
      <c r="A33" s="19"/>
      <c r="B33" s="97">
        <f ca="1">RANK(Tabel6485121722[[#This Row],[Punkte]],Tabel6485121722[Punkte],0)</f>
        <v>1</v>
      </c>
      <c r="C33" s="4" t="s">
        <v>0</v>
      </c>
      <c r="D33" s="173">
        <f>SUM(COUNTIF('&gt; Open &lt;'!$E$7:$E$10043,Tabel6485121722[[#This Row],[Club]]),COUNTIF('&gt; Women &lt;'!$E$7:$E$9977,Tabel6485121722[[#This Row],[Club]]))</f>
        <v>46</v>
      </c>
      <c r="E33" s="252">
        <f ca="1">SUM(SUMIF('&gt; Open &lt;'!$E$7:$E$10043,Tabel6485121722[[#This Row],[Club]],'&gt; Open &lt;'!$F$7),SUMIF('&gt; Women &lt;'!$E$7:$E$9977,Tabel6485121722[[#This Row],[Club]],'&gt; Women &lt;'!$F$7))</f>
        <v>37390.6</v>
      </c>
      <c r="F33" s="20"/>
    </row>
    <row r="34" spans="1:6" x14ac:dyDescent="0.2">
      <c r="A34" s="19"/>
      <c r="B34" s="97">
        <f ca="1">RANK(Tabel6485121722[[#This Row],[Punkte]],Tabel6485121722[Punkte],0)</f>
        <v>2</v>
      </c>
      <c r="C34" s="4" t="s">
        <v>7</v>
      </c>
      <c r="D34" s="173">
        <f>SUM(COUNTIF('&gt; Open &lt;'!$E$7:$E$10043,Tabel6485121722[[#This Row],[Club]]),COUNTIF('&gt; Women &lt;'!$E$7:$E$9977,Tabel6485121722[[#This Row],[Club]]))</f>
        <v>24</v>
      </c>
      <c r="E34" s="252">
        <f ca="1">SUM(SUMIF('&gt; Open &lt;'!$E$7:$E$10043,Tabel6485121722[[#This Row],[Club]],'&gt; Open &lt;'!$F$7),SUMIF('&gt; Women &lt;'!$E$7:$E$9977,Tabel6485121722[[#This Row],[Club]],'&gt; Women &lt;'!$F$7))</f>
        <v>19740.200000000004</v>
      </c>
      <c r="F34" s="20"/>
    </row>
    <row r="35" spans="1:6" x14ac:dyDescent="0.2">
      <c r="A35" s="19"/>
      <c r="B35" s="97">
        <f ca="1">RANK(Tabel6485121722[[#This Row],[Punkte]],Tabel6485121722[Punkte],0)</f>
        <v>3</v>
      </c>
      <c r="C35" s="4" t="s">
        <v>18</v>
      </c>
      <c r="D35" s="173">
        <f>SUM(COUNTIF('&gt; Open &lt;'!$E$7:$E$10043,Tabel6485121722[[#This Row],[Club]]),COUNTIF('&gt; Women &lt;'!$E$7:$E$9977,Tabel6485121722[[#This Row],[Club]]))</f>
        <v>48</v>
      </c>
      <c r="E35" s="252">
        <f ca="1">SUM(SUMIF('&gt; Open &lt;'!$E$7:$E$10043,Tabel6485121722[[#This Row],[Club]],'&gt; Open &lt;'!$F$7),SUMIF('&gt; Women &lt;'!$E$7:$E$9977,Tabel6485121722[[#This Row],[Club]],'&gt; Women &lt;'!$F$7))</f>
        <v>12963.4</v>
      </c>
      <c r="F35" s="20"/>
    </row>
    <row r="36" spans="1:6" x14ac:dyDescent="0.2">
      <c r="A36" s="19"/>
      <c r="B36" s="97">
        <f ca="1">RANK(Tabel6485121722[[#This Row],[Punkte]],Tabel6485121722[Punkte],0)</f>
        <v>5</v>
      </c>
      <c r="C36" s="4" t="s">
        <v>17</v>
      </c>
      <c r="D36" s="173">
        <f>SUM(COUNTIF('&gt; Open &lt;'!$E$7:$E$10043,Tabel6485121722[[#This Row],[Club]]),COUNTIF('&gt; Women &lt;'!$E$7:$E$9977,Tabel6485121722[[#This Row],[Club]]))</f>
        <v>20</v>
      </c>
      <c r="E36" s="252">
        <f ca="1">SUM(SUMIF('&gt; Open &lt;'!$E$7:$E$10043,Tabel6485121722[[#This Row],[Club]],'&gt; Open &lt;'!$F$7),SUMIF('&gt; Women &lt;'!$E$7:$E$9977,Tabel6485121722[[#This Row],[Club]],'&gt; Women &lt;'!$F$7))</f>
        <v>8041.2999999999993</v>
      </c>
      <c r="F36" s="20"/>
    </row>
    <row r="37" spans="1:6" x14ac:dyDescent="0.2">
      <c r="A37" s="19"/>
      <c r="B37" s="97">
        <f ca="1">RANK(Tabel6485121722[[#This Row],[Punkte]],Tabel6485121722[Punkte],0)</f>
        <v>6</v>
      </c>
      <c r="C37" s="4" t="s">
        <v>10</v>
      </c>
      <c r="D37" s="173">
        <f>SUM(COUNTIF('&gt; Open &lt;'!$E$7:$E$10043,Tabel6485121722[[#This Row],[Club]]),COUNTIF('&gt; Women &lt;'!$E$7:$E$9977,Tabel6485121722[[#This Row],[Club]]))</f>
        <v>50</v>
      </c>
      <c r="E37" s="252">
        <f ca="1">SUM(SUMIF('&gt; Open &lt;'!$E$7:$E$10043,Tabel6485121722[[#This Row],[Club]],'&gt; Open &lt;'!$F$7),SUMIF('&gt; Women &lt;'!$E$7:$E$9977,Tabel6485121722[[#This Row],[Club]],'&gt; Women &lt;'!$F$7))</f>
        <v>7294.2</v>
      </c>
      <c r="F37" s="20"/>
    </row>
    <row r="38" spans="1:6" x14ac:dyDescent="0.2">
      <c r="A38" s="19"/>
      <c r="B38" s="97">
        <f ca="1">RANK(Tabel6485121722[[#This Row],[Punkte]],Tabel6485121722[Punkte],0)</f>
        <v>4</v>
      </c>
      <c r="C38" s="4" t="s">
        <v>13</v>
      </c>
      <c r="D38" s="173">
        <f>SUM(COUNTIF('&gt; Open &lt;'!$E$7:$E$10043,Tabel6485121722[[#This Row],[Club]]),COUNTIF('&gt; Women &lt;'!$E$7:$E$9977,Tabel6485121722[[#This Row],[Club]]))</f>
        <v>24</v>
      </c>
      <c r="E38" s="252">
        <f ca="1">SUM(SUMIF('&gt; Open &lt;'!$E$7:$E$10043,Tabel6485121722[[#This Row],[Club]],'&gt; Open &lt;'!$F$7),SUMIF('&gt; Women &lt;'!$E$7:$E$9977,Tabel6485121722[[#This Row],[Club]],'&gt; Women &lt;'!$F$7))</f>
        <v>12601.6</v>
      </c>
      <c r="F38" s="20"/>
    </row>
    <row r="39" spans="1:6" x14ac:dyDescent="0.2">
      <c r="A39" s="19"/>
      <c r="B39" s="97">
        <f ca="1">RANK(Tabel6485121722[[#This Row],[Punkte]],Tabel6485121722[Punkte],0)</f>
        <v>8</v>
      </c>
      <c r="C39" s="4" t="s">
        <v>8</v>
      </c>
      <c r="D39" s="173">
        <f>SUM(COUNTIF('&gt; Open &lt;'!$E$7:$E$10043,Tabel6485121722[[#This Row],[Club]]),COUNTIF('&gt; Women &lt;'!$E$7:$E$9977,Tabel6485121722[[#This Row],[Club]]))</f>
        <v>37</v>
      </c>
      <c r="E39" s="252">
        <f ca="1">SUM(SUMIF('&gt; Open &lt;'!$E$7:$E$10043,Tabel6485121722[[#This Row],[Club]],'&gt; Open &lt;'!$F$7),SUMIF('&gt; Women &lt;'!$E$7:$E$9977,Tabel6485121722[[#This Row],[Club]],'&gt; Women &lt;'!$F$7))</f>
        <v>6071.2999999999993</v>
      </c>
      <c r="F39" s="20"/>
    </row>
    <row r="40" spans="1:6" x14ac:dyDescent="0.2">
      <c r="A40" s="19"/>
      <c r="B40" s="97">
        <f ca="1">RANK(Tabel6485121722[[#This Row],[Punkte]],Tabel6485121722[Punkte],0)</f>
        <v>9</v>
      </c>
      <c r="C40" s="4" t="s">
        <v>11</v>
      </c>
      <c r="D40" s="173">
        <f>SUM(COUNTIF('&gt; Open &lt;'!$E$7:$E$10043,Tabel6485121722[[#This Row],[Club]]),COUNTIF('&gt; Women &lt;'!$E$7:$E$9977,Tabel6485121722[[#This Row],[Club]]))</f>
        <v>148</v>
      </c>
      <c r="E40" s="252">
        <f ca="1">SUM(SUMIF('&gt; Open &lt;'!$E$7:$E$10043,Tabel6485121722[[#This Row],[Club]],'&gt; Open &lt;'!$F$7),SUMIF('&gt; Women &lt;'!$E$7:$E$9977,Tabel6485121722[[#This Row],[Club]],'&gt; Women &lt;'!$F$7))</f>
        <v>4512.5000000000018</v>
      </c>
      <c r="F40" s="20"/>
    </row>
    <row r="41" spans="1:6" x14ac:dyDescent="0.2">
      <c r="A41" s="19"/>
      <c r="B41" s="97">
        <f ca="1">RANK(Tabel6485121722[[#This Row],[Punkte]],Tabel6485121722[Punkte],0)</f>
        <v>7</v>
      </c>
      <c r="C41" s="4" t="s">
        <v>16</v>
      </c>
      <c r="D41" s="173">
        <f>SUM(COUNTIF('&gt; Open &lt;'!$E$7:$E$10043,Tabel6485121722[[#This Row],[Club]]),COUNTIF('&gt; Women &lt;'!$E$7:$E$9977,Tabel6485121722[[#This Row],[Club]]))</f>
        <v>18</v>
      </c>
      <c r="E41" s="252">
        <f ca="1">SUM(SUMIF('&gt; Open &lt;'!$E$7:$E$10043,Tabel6485121722[[#This Row],[Club]],'&gt; Open &lt;'!$F$7),SUMIF('&gt; Women &lt;'!$E$7:$E$9977,Tabel6485121722[[#This Row],[Club]],'&gt; Women &lt;'!$F$7))</f>
        <v>7134.4</v>
      </c>
      <c r="F41" s="20"/>
    </row>
    <row r="42" spans="1:6" x14ac:dyDescent="0.2">
      <c r="A42" s="19"/>
      <c r="B42" s="97">
        <f ca="1">RANK(Tabel6485121722[[#This Row],[Punkte]],Tabel6485121722[Punkte],0)</f>
        <v>10</v>
      </c>
      <c r="C42" s="4" t="s">
        <v>12</v>
      </c>
      <c r="D42" s="173">
        <f>SUM(COUNTIF('&gt; Open &lt;'!$E$7:$E$10043,Tabel6485121722[[#This Row],[Club]]),COUNTIF('&gt; Women &lt;'!$E$7:$E$9977,Tabel6485121722[[#This Row],[Club]]))</f>
        <v>9</v>
      </c>
      <c r="E42" s="252">
        <f ca="1">SUM(SUMIF('&gt; Open &lt;'!$E$7:$E$10043,Tabel6485121722[[#This Row],[Club]],'&gt; Open &lt;'!$F$7),SUMIF('&gt; Women &lt;'!$E$7:$E$9977,Tabel6485121722[[#This Row],[Club]],'&gt; Women &lt;'!$F$7))</f>
        <v>2438.1000000000004</v>
      </c>
      <c r="F42" s="20"/>
    </row>
    <row r="43" spans="1:6" x14ac:dyDescent="0.2">
      <c r="A43" s="19"/>
      <c r="B43" s="97">
        <f ca="1">RANK(Tabel6485121722[[#This Row],[Punkte]],Tabel6485121722[Punkte],0)</f>
        <v>13</v>
      </c>
      <c r="C43" s="4" t="s">
        <v>9</v>
      </c>
      <c r="D43" s="173">
        <f>SUM(COUNTIF('&gt; Open &lt;'!$E$7:$E$10043,Tabel6485121722[[#This Row],[Club]]),COUNTIF('&gt; Women &lt;'!$E$7:$E$9977,Tabel6485121722[[#This Row],[Club]]))</f>
        <v>12</v>
      </c>
      <c r="E43" s="253">
        <f ca="1">SUM(SUMIF('&gt; Open &lt;'!$E$7:$E$10043,Tabel6485121722[[#This Row],[Club]],'&gt; Open &lt;'!$F$7),SUMIF('&gt; Women &lt;'!$E$7:$E$9977,Tabel6485121722[[#This Row],[Club]],'&gt; Women &lt;'!$F$7))</f>
        <v>124.80000000000001</v>
      </c>
      <c r="F43" s="20"/>
    </row>
    <row r="44" spans="1:6" x14ac:dyDescent="0.2">
      <c r="A44" s="19"/>
      <c r="B44" s="97">
        <f ca="1">RANK(Tabel6485121722[[#This Row],[Punkte]],Tabel6485121722[Punkte],0)</f>
        <v>12</v>
      </c>
      <c r="C44" s="4" t="s">
        <v>14</v>
      </c>
      <c r="D44" s="173">
        <f>SUM(COUNTIF('&gt; Open &lt;'!$E$7:$E$10043,Tabel6485121722[[#This Row],[Club]]),COUNTIF('&gt; Women &lt;'!$E$7:$E$9977,Tabel6485121722[[#This Row],[Club]]))</f>
        <v>10</v>
      </c>
      <c r="E44" s="107">
        <f ca="1">SUM(SUMIF('&gt; Open &lt;'!$E$7:$E$10043,Tabel6485121722[[#This Row],[Club]],'&gt; Open &lt;'!$F$7),SUMIF('&gt; Women &lt;'!$E$7:$E$9977,Tabel6485121722[[#This Row],[Club]],'&gt; Women &lt;'!$F$7))</f>
        <v>294.60000000000002</v>
      </c>
      <c r="F44" s="20"/>
    </row>
    <row r="45" spans="1:6" x14ac:dyDescent="0.2">
      <c r="A45" s="19"/>
      <c r="B45" s="97">
        <v>13</v>
      </c>
      <c r="C45" s="4" t="s">
        <v>488</v>
      </c>
      <c r="D45" s="173">
        <f>SUM(COUNTIF('&gt; Open &lt;'!$E$7:$E$10043,Tabel6485121722[[#This Row],[Club]]),COUNTIF('&gt; Women &lt;'!$E$7:$E$9977,Tabel6485121722[[#This Row],[Club]]))</f>
        <v>8</v>
      </c>
      <c r="E45" s="254">
        <f ca="1">SUM(SUMIF('&gt; Open &lt;'!$E$7:$E$10043,Tabel6485121722[[#This Row],[Club]],'&gt; Open &lt;'!$F$7),SUMIF('&gt; Women &lt;'!$E$7:$E$9977,Tabel6485121722[[#This Row],[Club]],'&gt; Women &lt;'!$F$7))</f>
        <v>466.79999999999995</v>
      </c>
      <c r="F45" s="100"/>
    </row>
    <row r="46" spans="1:6" ht="30" customHeight="1" x14ac:dyDescent="0.2">
      <c r="A46" s="19"/>
      <c r="B46" s="175"/>
      <c r="C46" s="175"/>
      <c r="D46" s="175"/>
      <c r="E46" s="175"/>
      <c r="F46" s="20"/>
    </row>
    <row r="47" spans="1:6" s="16" customFormat="1" ht="26" x14ac:dyDescent="0.3">
      <c r="A47" s="286" t="s">
        <v>207</v>
      </c>
      <c r="B47" s="287"/>
      <c r="C47" s="287"/>
      <c r="D47" s="287"/>
      <c r="E47" s="287"/>
      <c r="F47" s="288"/>
    </row>
    <row r="48" spans="1:6" ht="30" customHeight="1" x14ac:dyDescent="0.2">
      <c r="A48" s="19"/>
      <c r="B48" s="175"/>
      <c r="C48" s="175"/>
      <c r="D48" s="175"/>
      <c r="E48" s="175"/>
      <c r="F48" s="20"/>
    </row>
    <row r="49" spans="1:6" ht="21" x14ac:dyDescent="0.25">
      <c r="A49" s="22" t="s">
        <v>31</v>
      </c>
      <c r="B49" s="175"/>
      <c r="C49" s="175"/>
      <c r="D49" s="175"/>
      <c r="E49" s="175"/>
      <c r="F49" s="20"/>
    </row>
    <row r="50" spans="1:6" x14ac:dyDescent="0.2">
      <c r="A50" s="19" t="s">
        <v>2</v>
      </c>
      <c r="B50" s="175" t="s">
        <v>32</v>
      </c>
      <c r="C50" s="175"/>
      <c r="D50" s="175" t="s">
        <v>104</v>
      </c>
      <c r="E50" s="175" t="s">
        <v>13</v>
      </c>
      <c r="F50" s="20"/>
    </row>
    <row r="51" spans="1:6" x14ac:dyDescent="0.2">
      <c r="A51" s="19" t="s">
        <v>1</v>
      </c>
      <c r="B51" s="175" t="s">
        <v>33</v>
      </c>
      <c r="C51" s="175"/>
      <c r="D51" s="175" t="s">
        <v>105</v>
      </c>
      <c r="E51" s="175" t="s">
        <v>0</v>
      </c>
      <c r="F51" s="20"/>
    </row>
    <row r="52" spans="1:6" x14ac:dyDescent="0.2">
      <c r="A52" s="19" t="s">
        <v>111</v>
      </c>
      <c r="B52" s="175" t="s">
        <v>112</v>
      </c>
      <c r="C52" s="175"/>
      <c r="D52" s="175" t="s">
        <v>122</v>
      </c>
      <c r="E52" s="175" t="s">
        <v>18</v>
      </c>
      <c r="F52" s="20"/>
    </row>
    <row r="53" spans="1:6" x14ac:dyDescent="0.2">
      <c r="A53" s="19"/>
      <c r="B53" s="175"/>
      <c r="C53" s="175"/>
      <c r="D53" s="175" t="s">
        <v>108</v>
      </c>
      <c r="E53" s="175" t="s">
        <v>12</v>
      </c>
      <c r="F53" s="20"/>
    </row>
    <row r="54" spans="1:6" x14ac:dyDescent="0.2">
      <c r="A54" s="19" t="s">
        <v>113</v>
      </c>
      <c r="B54" s="175" t="s">
        <v>114</v>
      </c>
      <c r="C54" s="175"/>
      <c r="D54" s="175" t="s">
        <v>106</v>
      </c>
      <c r="E54" s="175" t="s">
        <v>8</v>
      </c>
      <c r="F54" s="20"/>
    </row>
    <row r="55" spans="1:6" x14ac:dyDescent="0.2">
      <c r="A55" s="19" t="s">
        <v>115</v>
      </c>
      <c r="B55" s="175" t="s">
        <v>116</v>
      </c>
      <c r="C55" s="175"/>
      <c r="D55" s="175" t="s">
        <v>109</v>
      </c>
      <c r="E55" s="175" t="s">
        <v>9</v>
      </c>
      <c r="F55" s="20"/>
    </row>
    <row r="56" spans="1:6" x14ac:dyDescent="0.2">
      <c r="A56" s="19" t="s">
        <v>37</v>
      </c>
      <c r="B56" s="175" t="s">
        <v>117</v>
      </c>
      <c r="C56" s="175"/>
      <c r="D56" s="175" t="s">
        <v>120</v>
      </c>
      <c r="E56" s="175" t="s">
        <v>17</v>
      </c>
      <c r="F56" s="20"/>
    </row>
    <row r="57" spans="1:6" x14ac:dyDescent="0.2">
      <c r="A57" s="19" t="s">
        <v>118</v>
      </c>
      <c r="B57" s="175" t="s">
        <v>15</v>
      </c>
      <c r="C57" s="175"/>
      <c r="D57" s="175" t="s">
        <v>110</v>
      </c>
      <c r="E57" s="175" t="s">
        <v>14</v>
      </c>
      <c r="F57" s="20"/>
    </row>
    <row r="58" spans="1:6" x14ac:dyDescent="0.2">
      <c r="A58" s="19" t="s">
        <v>601</v>
      </c>
      <c r="B58" s="256" t="s">
        <v>602</v>
      </c>
      <c r="C58" s="175"/>
      <c r="D58" s="175" t="s">
        <v>121</v>
      </c>
      <c r="E58" s="175" t="s">
        <v>16</v>
      </c>
      <c r="F58" s="20"/>
    </row>
    <row r="59" spans="1:6" x14ac:dyDescent="0.2">
      <c r="A59" s="19" t="s">
        <v>603</v>
      </c>
      <c r="B59" s="256" t="s">
        <v>604</v>
      </c>
      <c r="C59" s="175"/>
      <c r="D59" s="175" t="s">
        <v>119</v>
      </c>
      <c r="E59" s="175" t="s">
        <v>7</v>
      </c>
      <c r="F59" s="20"/>
    </row>
    <row r="60" spans="1:6" x14ac:dyDescent="0.2">
      <c r="A60" s="19"/>
      <c r="B60" s="175"/>
      <c r="C60" s="175"/>
      <c r="D60" s="175" t="s">
        <v>107</v>
      </c>
      <c r="E60" s="175" t="s">
        <v>10</v>
      </c>
      <c r="F60" s="20"/>
    </row>
    <row r="61" spans="1:6" x14ac:dyDescent="0.2">
      <c r="A61" s="19" t="s">
        <v>49</v>
      </c>
      <c r="B61" s="175" t="s">
        <v>123</v>
      </c>
      <c r="C61" s="175"/>
      <c r="D61" s="175" t="s">
        <v>495</v>
      </c>
      <c r="E61" s="175" t="s">
        <v>488</v>
      </c>
      <c r="F61" s="20"/>
    </row>
    <row r="62" spans="1:6" x14ac:dyDescent="0.2">
      <c r="A62" s="19"/>
      <c r="B62" s="175"/>
      <c r="C62" s="256"/>
      <c r="D62" s="256"/>
      <c r="E62" s="256"/>
      <c r="F62" s="20"/>
    </row>
    <row r="63" spans="1:6" ht="30" customHeight="1" x14ac:dyDescent="0.2">
      <c r="A63" s="19" t="s">
        <v>426</v>
      </c>
      <c r="B63" s="175" t="s">
        <v>440</v>
      </c>
      <c r="C63" s="256"/>
      <c r="D63" s="256"/>
      <c r="E63" s="256"/>
      <c r="F63" s="20"/>
    </row>
    <row r="64" spans="1:6" x14ac:dyDescent="0.2">
      <c r="A64" s="19" t="s">
        <v>445</v>
      </c>
      <c r="B64" s="175" t="s">
        <v>441</v>
      </c>
      <c r="C64" s="4"/>
      <c r="D64" s="175"/>
      <c r="E64" s="175"/>
      <c r="F64" s="20"/>
    </row>
    <row r="65" spans="1:6" x14ac:dyDescent="0.2">
      <c r="A65" s="19"/>
      <c r="B65" s="175"/>
      <c r="C65" s="175"/>
      <c r="D65" s="175"/>
      <c r="E65" s="175"/>
      <c r="F65" s="20"/>
    </row>
    <row r="66" spans="1:6" ht="17" thickBot="1" x14ac:dyDescent="0.25">
      <c r="A66" s="108" t="s">
        <v>439</v>
      </c>
      <c r="B66" s="23"/>
      <c r="C66" s="23"/>
      <c r="D66" s="23"/>
      <c r="E66" s="23"/>
      <c r="F66" s="24"/>
    </row>
    <row r="69" spans="1:6" x14ac:dyDescent="0.2">
      <c r="B69" s="29"/>
      <c r="C69" s="29"/>
      <c r="D69" s="29"/>
      <c r="E69" s="29"/>
      <c r="F69" s="29"/>
    </row>
  </sheetData>
  <sortState xmlns:xlrd2="http://schemas.microsoft.com/office/spreadsheetml/2017/richdata2" ref="E7:E16">
    <sortCondition ref="E6:E16"/>
  </sortState>
  <mergeCells count="3">
    <mergeCell ref="A1:F1"/>
    <mergeCell ref="A47:F47"/>
    <mergeCell ref="B3:E3"/>
  </mergeCells>
  <pageMargins left="0.7" right="0.7" top="0.78740157499999996" bottom="0.78740157499999996" header="0.3" footer="0.3"/>
  <pageSetup paperSize="9" scale="47" orientation="landscape" horizontalDpi="0" verticalDpi="0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BO361"/>
  <sheetViews>
    <sheetView tabSelected="1" zoomScaleNormal="10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F7" sqref="F7"/>
    </sheetView>
  </sheetViews>
  <sheetFormatPr baseColWidth="10" defaultColWidth="10.83203125" defaultRowHeight="16" x14ac:dyDescent="0.2"/>
  <cols>
    <col min="1" max="1" width="10.5" style="11" hidden="1" customWidth="1"/>
    <col min="2" max="2" width="2.83203125" style="4" customWidth="1"/>
    <col min="3" max="3" width="10.5" style="4" customWidth="1"/>
    <col min="4" max="4" width="24.1640625" style="4" bestFit="1" customWidth="1"/>
    <col min="5" max="5" width="12.1640625" style="4" bestFit="1" customWidth="1"/>
    <col min="6" max="6" width="12" style="4" bestFit="1" customWidth="1"/>
    <col min="7" max="9" width="7.33203125" style="4" bestFit="1" customWidth="1"/>
    <col min="10" max="10" width="10.5" style="4" bestFit="1" customWidth="1"/>
    <col min="11" max="11" width="12" style="4" bestFit="1" customWidth="1"/>
    <col min="12" max="20" width="8.83203125" style="4" customWidth="1"/>
    <col min="21" max="22" width="4.6640625" style="4" hidden="1" customWidth="1"/>
    <col min="23" max="23" width="4.5" style="4" hidden="1" customWidth="1"/>
    <col min="24" max="32" width="8.83203125" style="16" customWidth="1"/>
    <col min="33" max="48" width="11.83203125" style="16" customWidth="1"/>
    <col min="49" max="49" width="17.5" style="16" bestFit="1" customWidth="1"/>
    <col min="50" max="50" width="18.83203125" style="16" bestFit="1" customWidth="1"/>
    <col min="51" max="53" width="11.83203125" style="16" customWidth="1"/>
    <col min="54" max="16384" width="10.83203125" style="16"/>
  </cols>
  <sheetData>
    <row r="1" spans="1:67" s="4" customFormat="1" ht="26" customHeight="1" x14ac:dyDescent="0.3">
      <c r="A1" s="293" t="s">
        <v>454</v>
      </c>
      <c r="B1" s="293"/>
      <c r="C1" s="293"/>
      <c r="D1" s="293"/>
      <c r="E1" s="293"/>
      <c r="F1" s="293"/>
      <c r="G1" s="140"/>
      <c r="H1" s="140"/>
      <c r="I1" s="140"/>
      <c r="J1" s="294" t="s">
        <v>446</v>
      </c>
      <c r="K1" s="294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  <c r="Y1" s="296"/>
      <c r="Z1" s="296"/>
      <c r="AA1" s="296"/>
      <c r="AB1" s="296"/>
      <c r="AC1" s="255"/>
      <c r="AD1" s="255"/>
      <c r="AE1" s="270"/>
      <c r="AF1" s="272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67" s="4" customFormat="1" ht="26" customHeight="1" x14ac:dyDescent="0.3">
      <c r="A2" s="293"/>
      <c r="B2" s="293"/>
      <c r="C2" s="293"/>
      <c r="D2" s="293"/>
      <c r="E2" s="293"/>
      <c r="F2" s="293"/>
      <c r="G2" s="140"/>
      <c r="H2" s="140"/>
      <c r="I2" s="140"/>
      <c r="J2" s="294"/>
      <c r="K2" s="294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6"/>
      <c r="Y2" s="296"/>
      <c r="Z2" s="296"/>
      <c r="AA2" s="296"/>
      <c r="AB2" s="296"/>
      <c r="AC2" s="255"/>
      <c r="AD2" s="255"/>
      <c r="AE2" s="270"/>
      <c r="AF2" s="272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67" s="4" customFormat="1" ht="16" customHeight="1" x14ac:dyDescent="0.2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18"/>
      <c r="M3" s="182"/>
      <c r="N3" s="190"/>
      <c r="O3" s="235"/>
      <c r="P3" s="250"/>
      <c r="Q3" s="256"/>
      <c r="R3" s="256"/>
      <c r="S3" s="271"/>
      <c r="T3" s="273"/>
      <c r="U3" s="18"/>
      <c r="V3" s="18"/>
      <c r="W3" s="18"/>
      <c r="X3" s="114"/>
      <c r="Y3" s="182"/>
      <c r="Z3" s="190"/>
      <c r="AA3" s="235"/>
      <c r="AB3" s="250"/>
      <c r="AC3" s="256"/>
      <c r="AD3" s="256"/>
      <c r="AE3" s="271"/>
      <c r="AF3" s="273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67" s="4" customFormat="1" ht="16" customHeight="1" x14ac:dyDescent="0.2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89"/>
      <c r="M4" s="89"/>
      <c r="N4" s="89"/>
      <c r="O4" s="89"/>
      <c r="P4" s="89"/>
      <c r="Q4" s="89"/>
      <c r="R4" s="89"/>
      <c r="S4" s="89"/>
      <c r="T4" s="89"/>
      <c r="U4" s="114"/>
      <c r="V4" s="114"/>
      <c r="W4" s="114"/>
      <c r="X4" s="219"/>
      <c r="Y4" s="182"/>
      <c r="Z4" s="190"/>
      <c r="AA4" s="235"/>
      <c r="AB4" s="250"/>
      <c r="AC4" s="256"/>
      <c r="AD4" s="256"/>
      <c r="AE4" s="271"/>
      <c r="AF4" s="27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67" s="4" customFormat="1" ht="16" customHeight="1" x14ac:dyDescent="0.2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89">
        <v>1.94</v>
      </c>
      <c r="M5" s="89">
        <v>1.54</v>
      </c>
      <c r="N5" s="89">
        <v>1.58</v>
      </c>
      <c r="O5" s="89">
        <v>1.48</v>
      </c>
      <c r="P5" s="89">
        <v>1.48</v>
      </c>
      <c r="Q5" s="89">
        <v>1.42</v>
      </c>
      <c r="R5" s="89">
        <v>0.1</v>
      </c>
      <c r="S5" s="89">
        <v>2.08</v>
      </c>
      <c r="T5" s="89">
        <v>0.1</v>
      </c>
      <c r="U5" s="18"/>
      <c r="V5" s="18"/>
      <c r="W5" s="18"/>
      <c r="X5" s="219"/>
      <c r="Z5" s="236"/>
      <c r="AA5" s="248">
        <f>1+6*$AN$18+2*$AN$19+2*$AN$20</f>
        <v>1.48</v>
      </c>
      <c r="AB5" s="248">
        <f>1+5*$AN$18+2*$AN$19+5*$AN$20</f>
        <v>1.4800000000000002</v>
      </c>
      <c r="AC5" s="248">
        <f>1+2*$AN$18+7*$AN$19+1*$AN$20</f>
        <v>1.4200000000000002</v>
      </c>
      <c r="AD5" s="248">
        <f>0.1+0*$AN$18+0*$AN$19+0*$AN$20</f>
        <v>0.1</v>
      </c>
      <c r="AE5" s="248">
        <f>1+10*$AN$18+10*$AN$19+4*$AN$20</f>
        <v>2.08</v>
      </c>
      <c r="AF5" s="248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67" s="4" customFormat="1" x14ac:dyDescent="0.2">
      <c r="A6" s="180" t="s">
        <v>478</v>
      </c>
      <c r="B6" s="180" t="s">
        <v>477</v>
      </c>
      <c r="C6" s="148" t="s">
        <v>393</v>
      </c>
      <c r="D6" s="111" t="s">
        <v>459</v>
      </c>
      <c r="E6" s="111" t="s">
        <v>4</v>
      </c>
      <c r="F6" s="88" t="s">
        <v>460</v>
      </c>
      <c r="G6" s="111" t="s">
        <v>390</v>
      </c>
      <c r="H6" s="111" t="s">
        <v>391</v>
      </c>
      <c r="I6" s="111" t="s">
        <v>392</v>
      </c>
      <c r="J6" s="118" t="s">
        <v>438</v>
      </c>
      <c r="K6" s="118" t="s">
        <v>461</v>
      </c>
      <c r="L6" s="115" t="s">
        <v>431</v>
      </c>
      <c r="M6" s="115" t="s">
        <v>534</v>
      </c>
      <c r="N6" s="115" t="s">
        <v>535</v>
      </c>
      <c r="O6" s="115" t="s">
        <v>570</v>
      </c>
      <c r="P6" s="115" t="s">
        <v>585</v>
      </c>
      <c r="Q6" s="115" t="s">
        <v>607</v>
      </c>
      <c r="R6" s="115" t="s">
        <v>608</v>
      </c>
      <c r="S6" s="115" t="s">
        <v>623</v>
      </c>
      <c r="T6" s="115" t="s">
        <v>644</v>
      </c>
      <c r="U6" s="5" t="s">
        <v>426</v>
      </c>
      <c r="V6" s="5" t="s">
        <v>427</v>
      </c>
      <c r="W6" s="5" t="s">
        <v>428</v>
      </c>
      <c r="X6" s="117" t="s">
        <v>573</v>
      </c>
      <c r="Y6" s="193" t="s">
        <v>537</v>
      </c>
      <c r="Z6" s="193" t="s">
        <v>574</v>
      </c>
      <c r="AA6" s="193" t="s">
        <v>569</v>
      </c>
      <c r="AB6" s="257" t="s">
        <v>586</v>
      </c>
      <c r="AC6" s="193" t="s">
        <v>605</v>
      </c>
      <c r="AD6" s="193" t="s">
        <v>606</v>
      </c>
      <c r="AE6" s="193" t="s">
        <v>624</v>
      </c>
      <c r="AF6" s="257" t="s">
        <v>640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D6" s="16"/>
      <c r="BE6" s="16"/>
      <c r="BF6" s="16"/>
      <c r="BG6" s="16"/>
      <c r="BH6" s="16"/>
      <c r="BI6" s="16"/>
    </row>
    <row r="7" spans="1:67" s="4" customFormat="1" x14ac:dyDescent="0.2">
      <c r="A7" s="17">
        <v>1</v>
      </c>
      <c r="B7" s="17">
        <f>IF(Open[[#This Row],[PR Rang beim letzten Turnier]]&gt;Open[[#This Row],[PR Rang]],1,IF(Open[[#This Row],[PR Rang beim letzten Turnier]]=Open[[#This Row],[PR Rang]],0,-1))</f>
        <v>0</v>
      </c>
      <c r="C7" s="112">
        <f>RANK(Open[[#This Row],[PR Punkte]],Open[PR Punkte],0)</f>
        <v>1</v>
      </c>
      <c r="D7" s="160" t="s">
        <v>22</v>
      </c>
      <c r="E7" s="9" t="s">
        <v>0</v>
      </c>
      <c r="F7" s="109">
        <f>SUM(Open[[#This Row],[PR 1]:[PR 3]])</f>
        <v>6050</v>
      </c>
      <c r="G7" s="109">
        <f>LARGE(Open[[#This Row],[TS SH O 22.02.22]:[PR3]],1)</f>
        <v>2288</v>
      </c>
      <c r="H7" s="109">
        <f>LARGE(Open[[#This Row],[TS SH O 22.02.22]:[PR3]],2)</f>
        <v>2134</v>
      </c>
      <c r="I7" s="109">
        <f>LARGE(Open[[#This Row],[TS SH O 22.02.22]:[PR3]],3)</f>
        <v>1628</v>
      </c>
      <c r="J7" s="9">
        <f>RANK(K7,$K$7:$K$295,0)</f>
        <v>1</v>
      </c>
      <c r="K7" s="109">
        <f>SUM(L7:W7)</f>
        <v>9240</v>
      </c>
      <c r="L7" s="109">
        <f>IFERROR(VLOOKUP(Open[[#This Row],[TS SH 22.02.22 Rang]],$AJ$16:$AK$111,2,0)*L$5," ")</f>
        <v>2134</v>
      </c>
      <c r="M7" s="109" t="str">
        <f>IFERROR(VLOOKUP(Open[[#This Row],[TS SH O 23.04.22 Rang]],$AJ$16:$AK$111,2,0)*M$5," ")</f>
        <v xml:space="preserve"> </v>
      </c>
      <c r="N7" s="109" t="str">
        <f>IFERROR(VLOOKUP(Open[[#This Row],[TS LA O 08.05.22 Rang]],$AJ$16:$AK$111,2,0)*N$5," ")</f>
        <v xml:space="preserve"> </v>
      </c>
      <c r="O7" s="109">
        <f>IFERROR(VLOOKUP(Open[[#This Row],[TS SG O 25.05.22 Rang]],$AJ$16:$AK$111,2,0)*O$5," ")</f>
        <v>1628</v>
      </c>
      <c r="P7" s="109">
        <f>IFERROR(VLOOKUP(Open[[#This Row],[TS SH O 25.06.22 Rang]],$AJ$16:$AK$111,2,0)*P$5," ")</f>
        <v>1628</v>
      </c>
      <c r="Q7" s="274">
        <f>IFERROR(VLOOKUP(Open[[#This Row],[TS ZH O/A 25.06.22 Rang]],$AJ$16:$AK$111,2,0)*Q$5," ")</f>
        <v>1562</v>
      </c>
      <c r="R7" s="109" t="str">
        <f>IFERROR(VLOOKUP(Open[[#This Row],[TS ZH O/B 25.06.22 Rang]],$AJ$16:$AK$111,2,0)*R$5," ")</f>
        <v xml:space="preserve"> </v>
      </c>
      <c r="S7" s="109">
        <f>IFERROR(VLOOKUP(Open[[#This Row],[SM BE O/A 09.07.22 Rang]],$AJ$16:$AK$111,2,0)*S$5," ")</f>
        <v>2288</v>
      </c>
      <c r="T7" s="109" t="str">
        <f>IFERROR(VLOOKUP(Open[[#This Row],[SM BE O/B 09.07.22 Rang]],$AJ$16:$AK$111,2,0)*T$5," ")</f>
        <v xml:space="preserve"> </v>
      </c>
      <c r="U7" s="11">
        <v>0</v>
      </c>
      <c r="V7" s="11">
        <v>0</v>
      </c>
      <c r="W7" s="11">
        <v>0</v>
      </c>
      <c r="X7" s="60">
        <v>1</v>
      </c>
      <c r="Y7" s="191"/>
      <c r="Z7" s="191"/>
      <c r="AA7" s="200">
        <v>1</v>
      </c>
      <c r="AB7" s="200">
        <v>1</v>
      </c>
      <c r="AC7" s="200">
        <v>1</v>
      </c>
      <c r="AD7" s="191"/>
      <c r="AE7" s="200">
        <v>1</v>
      </c>
      <c r="AF7" s="191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6"/>
      <c r="AT7" s="16"/>
      <c r="AU7" s="16"/>
      <c r="AV7" s="16"/>
      <c r="AW7" s="16"/>
      <c r="AX7" s="16"/>
      <c r="AY7" s="16"/>
      <c r="AZ7" s="16"/>
      <c r="BA7" s="16"/>
      <c r="BD7" s="16"/>
      <c r="BE7" s="36"/>
      <c r="BF7" s="36"/>
      <c r="BG7" s="16"/>
      <c r="BH7" s="16"/>
      <c r="BI7" s="16"/>
    </row>
    <row r="8" spans="1:67" s="4" customFormat="1" x14ac:dyDescent="0.2">
      <c r="A8" s="17">
        <v>1</v>
      </c>
      <c r="B8" s="197">
        <f>IF(Open[[#This Row],[PR Rang beim letzten Turnier]]&gt;Open[[#This Row],[PR Rang]],1,IF(Open[[#This Row],[PR Rang beim letzten Turnier]]=Open[[#This Row],[PR Rang]],0,-1))</f>
        <v>0</v>
      </c>
      <c r="C8" s="112">
        <f>RANK(Open[[#This Row],[PR Punkte]],Open[PR Punkte],0)</f>
        <v>1</v>
      </c>
      <c r="D8" s="17" t="s">
        <v>21</v>
      </c>
      <c r="E8" s="9" t="s">
        <v>0</v>
      </c>
      <c r="F8" s="109">
        <f>SUM(Open[[#This Row],[PR 1]:[PR 3]])</f>
        <v>6050</v>
      </c>
      <c r="G8" s="109">
        <f>LARGE(Open[[#This Row],[TS SH O 22.02.22]:[PR3]],1)</f>
        <v>2288</v>
      </c>
      <c r="H8" s="109">
        <f>LARGE(Open[[#This Row],[TS SH O 22.02.22]:[PR3]],2)</f>
        <v>2134</v>
      </c>
      <c r="I8" s="109">
        <f>LARGE(Open[[#This Row],[TS SH O 22.02.22]:[PR3]],3)</f>
        <v>1628</v>
      </c>
      <c r="J8" s="11">
        <f>RANK(K8,$K$7:$K$295,0)</f>
        <v>2</v>
      </c>
      <c r="K8" s="109">
        <f>SUM(L8:W8)</f>
        <v>9100</v>
      </c>
      <c r="L8" s="109">
        <f>IFERROR(VLOOKUP(Open[[#This Row],[TS SH 22.02.22 Rang]],$AJ$16:$AK$111,2,0)*L$5," ")</f>
        <v>2134</v>
      </c>
      <c r="M8" s="109" t="str">
        <f>IFERROR(VLOOKUP(Open[[#This Row],[TS SH O 23.04.22 Rang]],$AJ$16:$AK$111,2,0)*M$5," ")</f>
        <v xml:space="preserve"> </v>
      </c>
      <c r="N8" s="109">
        <f>IFERROR(VLOOKUP(Open[[#This Row],[TS LA O 08.05.22 Rang]],$AJ$16:$AK$111,2,0)*N$5," ")</f>
        <v>1422</v>
      </c>
      <c r="O8" s="109">
        <f>IFERROR(VLOOKUP(Open[[#This Row],[TS SG O 25.05.22 Rang]],$AJ$16:$AK$111,2,0)*O$5," ")</f>
        <v>1628</v>
      </c>
      <c r="P8" s="109">
        <f>IFERROR(VLOOKUP(Open[[#This Row],[TS SH O 25.06.22 Rang]],$AJ$16:$AK$111,2,0)*P$5," ")</f>
        <v>1628</v>
      </c>
      <c r="Q8" s="109" t="str">
        <f>IFERROR(VLOOKUP(Open[[#This Row],[TS ZH O/A 25.06.22 Rang]],$AJ$16:$AK$111,2,0)*Q$5," ")</f>
        <v xml:space="preserve"> </v>
      </c>
      <c r="R8" s="109" t="str">
        <f>IFERROR(VLOOKUP(Open[[#This Row],[TS ZH O/B 25.06.22 Rang]],$AJ$16:$AK$111,2,0)*R$5," ")</f>
        <v xml:space="preserve"> </v>
      </c>
      <c r="S8" s="109">
        <f>IFERROR(VLOOKUP(Open[[#This Row],[SM BE O/A 09.07.22 Rang]],$AJ$16:$AK$111,2,0)*S$5," ")</f>
        <v>2288</v>
      </c>
      <c r="T8" s="109" t="str">
        <f>IFERROR(VLOOKUP(Open[[#This Row],[SM BE O/B 09.07.22 Rang]],$AJ$16:$AK$111,2,0)*T$5," ")</f>
        <v xml:space="preserve"> </v>
      </c>
      <c r="U8" s="11">
        <v>0</v>
      </c>
      <c r="V8" s="11">
        <v>0</v>
      </c>
      <c r="W8" s="11">
        <v>0</v>
      </c>
      <c r="X8" s="60">
        <v>1</v>
      </c>
      <c r="Y8" s="191"/>
      <c r="Z8" s="200">
        <v>2</v>
      </c>
      <c r="AA8" s="200">
        <v>1</v>
      </c>
      <c r="AB8" s="200">
        <v>1</v>
      </c>
      <c r="AC8" s="191"/>
      <c r="AD8" s="191"/>
      <c r="AE8" s="200">
        <v>1</v>
      </c>
      <c r="AF8" s="191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6"/>
      <c r="AT8" s="16"/>
      <c r="AU8" s="16"/>
      <c r="AV8" s="16"/>
      <c r="AW8"/>
      <c r="AX8"/>
      <c r="AY8"/>
      <c r="AZ8" s="16"/>
      <c r="BA8" s="16"/>
      <c r="BD8" s="16"/>
      <c r="BE8" s="16"/>
      <c r="BF8" s="16"/>
      <c r="BG8" s="16"/>
      <c r="BH8" s="16"/>
      <c r="BI8" s="16"/>
    </row>
    <row r="9" spans="1:67" s="4" customFormat="1" x14ac:dyDescent="0.2">
      <c r="A9" s="17">
        <v>4</v>
      </c>
      <c r="B9" s="17">
        <f>IF(Open[[#This Row],[PR Rang beim letzten Turnier]]&gt;Open[[#This Row],[PR Rang]],1,IF(Open[[#This Row],[PR Rang beim letzten Turnier]]=Open[[#This Row],[PR Rang]],0,-1))</f>
        <v>1</v>
      </c>
      <c r="C9" s="112">
        <f>RANK(Open[[#This Row],[PR Punkte]],Open[PR Punkte],0)</f>
        <v>3</v>
      </c>
      <c r="D9" s="160" t="s">
        <v>50</v>
      </c>
      <c r="E9" s="9" t="s">
        <v>7</v>
      </c>
      <c r="F9" s="109">
        <f>SUM(Open[[#This Row],[PR 1]:[PR 3]])</f>
        <v>4482</v>
      </c>
      <c r="G9" s="109">
        <f>LARGE(Open[[#This Row],[TS SH O 22.02.22]:[PR3]],1)</f>
        <v>1694</v>
      </c>
      <c r="H9" s="109">
        <f>LARGE(Open[[#This Row],[TS SH O 22.02.22]:[PR3]],2)</f>
        <v>1456</v>
      </c>
      <c r="I9" s="109">
        <f>LARGE(Open[[#This Row],[TS SH O 22.02.22]:[PR3]],3)</f>
        <v>1332</v>
      </c>
      <c r="J9" s="9">
        <f>RANK(K9,$K$7:$K$295,0)</f>
        <v>4</v>
      </c>
      <c r="K9" s="109">
        <f>SUM(L9:W9)</f>
        <v>5588</v>
      </c>
      <c r="L9" s="109" t="str">
        <f>IFERROR(VLOOKUP(Open[[#This Row],[TS SH 22.02.22 Rang]],$AJ$16:$AK$111,2,0)*L$5," ")</f>
        <v xml:space="preserve"> </v>
      </c>
      <c r="M9" s="109">
        <f>IFERROR(VLOOKUP(Open[[#This Row],[TS SH O 23.04.22 Rang]],$AJ$16:$AK$111,2,0)*M$5," ")</f>
        <v>1694</v>
      </c>
      <c r="N9" s="109">
        <f>IFERROR(VLOOKUP(Open[[#This Row],[TS LA O 08.05.22 Rang]],$AJ$16:$AK$111,2,0)*N$5," ")</f>
        <v>1106</v>
      </c>
      <c r="O9" s="109">
        <f>IFERROR(VLOOKUP(Open[[#This Row],[TS SG O 25.05.22 Rang]],$AJ$16:$AK$111,2,0)*O$5," ")</f>
        <v>1332</v>
      </c>
      <c r="P9" s="109" t="str">
        <f>IFERROR(VLOOKUP(Open[[#This Row],[TS SH O 25.06.22 Rang]],$AJ$16:$AK$111,2,0)*P$5," ")</f>
        <v xml:space="preserve"> </v>
      </c>
      <c r="Q9" s="109" t="str">
        <f>IFERROR(VLOOKUP(Open[[#This Row],[TS ZH O/A 25.06.22 Rang]],$AJ$16:$AK$111,2,0)*Q$5," ")</f>
        <v xml:space="preserve"> </v>
      </c>
      <c r="R9" s="109" t="str">
        <f>IFERROR(VLOOKUP(Open[[#This Row],[TS ZH O/B 25.06.22 Rang]],$AJ$16:$AK$111,2,0)*R$5," ")</f>
        <v xml:space="preserve"> </v>
      </c>
      <c r="S9" s="109">
        <f>IFERROR(VLOOKUP(Open[[#This Row],[SM BE O/A 09.07.22 Rang]],$AJ$16:$AK$111,2,0)*S$5," ")</f>
        <v>1456</v>
      </c>
      <c r="T9" s="109" t="str">
        <f>IFERROR(VLOOKUP(Open[[#This Row],[SM BE O/B 09.07.22 Rang]],$AJ$16:$AK$111,2,0)*T$5," ")</f>
        <v xml:space="preserve"> </v>
      </c>
      <c r="U9" s="11">
        <v>0</v>
      </c>
      <c r="V9" s="11">
        <v>0</v>
      </c>
      <c r="W9" s="11">
        <v>0</v>
      </c>
      <c r="X9" s="129"/>
      <c r="Y9" s="200">
        <v>1</v>
      </c>
      <c r="Z9" s="200">
        <v>3</v>
      </c>
      <c r="AA9" s="200">
        <v>2</v>
      </c>
      <c r="AB9" s="191"/>
      <c r="AC9" s="191"/>
      <c r="AD9" s="191"/>
      <c r="AE9" s="200">
        <v>3</v>
      </c>
      <c r="AF9" s="19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6"/>
      <c r="AT9" s="16"/>
      <c r="AU9" s="16"/>
      <c r="AV9" s="16"/>
      <c r="AW9"/>
      <c r="AX9"/>
      <c r="AY9"/>
      <c r="AZ9" s="16"/>
      <c r="BA9" s="16"/>
      <c r="BD9" s="16"/>
      <c r="BE9" s="16"/>
      <c r="BF9" s="16"/>
      <c r="BG9" s="16"/>
      <c r="BH9" s="16"/>
      <c r="BI9" s="16"/>
      <c r="BO9" s="16"/>
    </row>
    <row r="10" spans="1:67" s="4" customFormat="1" x14ac:dyDescent="0.2">
      <c r="A10" s="17">
        <v>5</v>
      </c>
      <c r="B10" s="17">
        <f>IF(Open[[#This Row],[PR Rang beim letzten Turnier]]&gt;Open[[#This Row],[PR Rang]],1,IF(Open[[#This Row],[PR Rang beim letzten Turnier]]=Open[[#This Row],[PR Rang]],0,-1))</f>
        <v>1</v>
      </c>
      <c r="C10" s="112">
        <f>RANK(Open[[#This Row],[PR Punkte]],Open[PR Punkte],0)</f>
        <v>3</v>
      </c>
      <c r="D10" s="222" t="s">
        <v>128</v>
      </c>
      <c r="E10" s="11" t="s">
        <v>7</v>
      </c>
      <c r="F10" s="109">
        <f>SUM(Open[[#This Row],[PR 1]:[PR 3]])</f>
        <v>4482</v>
      </c>
      <c r="G10" s="109">
        <f>LARGE(Open[[#This Row],[TS SH O 22.02.22]:[PR3]],1)</f>
        <v>1694</v>
      </c>
      <c r="H10" s="109">
        <f>LARGE(Open[[#This Row],[TS SH O 22.02.22]:[PR3]],2)</f>
        <v>1456</v>
      </c>
      <c r="I10" s="109">
        <f>LARGE(Open[[#This Row],[TS SH O 22.02.22]:[PR3]],3)</f>
        <v>1332</v>
      </c>
      <c r="J10" s="11">
        <f>RANK(K10,$K$7:$K$295,0)</f>
        <v>5</v>
      </c>
      <c r="K10" s="109">
        <f>SUM(L10:W10)</f>
        <v>5452</v>
      </c>
      <c r="L10" s="109">
        <f>IFERROR(VLOOKUP(Open[[#This Row],[TS SH 22.02.22 Rang]],$AJ$16:$AK$111,2,0)*L$5," ")</f>
        <v>970</v>
      </c>
      <c r="M10" s="109">
        <f>IFERROR(VLOOKUP(Open[[#This Row],[TS SH O 23.04.22 Rang]],$AJ$16:$AK$111,2,0)*M$5," ")</f>
        <v>1694</v>
      </c>
      <c r="N10" s="109" t="str">
        <f>IFERROR(VLOOKUP(Open[[#This Row],[TS LA O 08.05.22 Rang]],$AJ$16:$AK$111,2,0)*N$5," ")</f>
        <v xml:space="preserve"> </v>
      </c>
      <c r="O10" s="109">
        <f>IFERROR(VLOOKUP(Open[[#This Row],[TS SG O 25.05.22 Rang]],$AJ$16:$AK$111,2,0)*O$5," ")</f>
        <v>1332</v>
      </c>
      <c r="P10" s="109" t="str">
        <f>IFERROR(VLOOKUP(Open[[#This Row],[TS SH O 25.06.22 Rang]],$AJ$16:$AK$111,2,0)*P$5," ")</f>
        <v xml:space="preserve"> </v>
      </c>
      <c r="Q10" s="109" t="str">
        <f>IFERROR(VLOOKUP(Open[[#This Row],[TS ZH O/A 25.06.22 Rang]],$AJ$16:$AK$111,2,0)*Q$5," ")</f>
        <v xml:space="preserve"> </v>
      </c>
      <c r="R10" s="109" t="str">
        <f>IFERROR(VLOOKUP(Open[[#This Row],[TS ZH O/B 25.06.22 Rang]],$AJ$16:$AK$111,2,0)*R$5," ")</f>
        <v xml:space="preserve"> </v>
      </c>
      <c r="S10" s="109">
        <f>IFERROR(VLOOKUP(Open[[#This Row],[SM BE O/A 09.07.22 Rang]],$AJ$16:$AK$111,2,0)*S$5," ")</f>
        <v>1456</v>
      </c>
      <c r="T10" s="109" t="str">
        <f>IFERROR(VLOOKUP(Open[[#This Row],[SM BE O/B 09.07.22 Rang]],$AJ$16:$AK$111,2,0)*T$5," ")</f>
        <v xml:space="preserve"> </v>
      </c>
      <c r="U10" s="11">
        <v>0</v>
      </c>
      <c r="V10" s="11">
        <v>0</v>
      </c>
      <c r="W10" s="11">
        <v>0</v>
      </c>
      <c r="X10" s="122">
        <v>4</v>
      </c>
      <c r="Y10" s="200">
        <v>1</v>
      </c>
      <c r="Z10" s="191"/>
      <c r="AA10" s="200">
        <v>2</v>
      </c>
      <c r="AB10" s="191"/>
      <c r="AC10" s="191"/>
      <c r="AD10" s="191"/>
      <c r="AE10" s="200">
        <v>3</v>
      </c>
      <c r="AF10" s="19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6"/>
      <c r="AT10" s="16"/>
      <c r="AU10" s="16"/>
      <c r="AV10" s="16"/>
      <c r="AW10"/>
      <c r="AY10"/>
      <c r="AZ10" s="16"/>
      <c r="BA10" s="16"/>
      <c r="BD10" s="16"/>
      <c r="BE10" s="17"/>
      <c r="BF10" s="17"/>
      <c r="BG10" s="16"/>
      <c r="BH10" s="16"/>
      <c r="BI10" s="16"/>
    </row>
    <row r="11" spans="1:67" s="4" customFormat="1" x14ac:dyDescent="0.2">
      <c r="A11" s="17">
        <v>3</v>
      </c>
      <c r="B11" s="17">
        <f>IF(Open[[#This Row],[PR Rang beim letzten Turnier]]&gt;Open[[#This Row],[PR Rang]],1,IF(Open[[#This Row],[PR Rang beim letzten Turnier]]=Open[[#This Row],[PR Rang]],0,-1))</f>
        <v>-1</v>
      </c>
      <c r="C11" s="112">
        <f>RANK(Open[[#This Row],[PR Punkte]],Open[PR Punkte],0)</f>
        <v>5</v>
      </c>
      <c r="D11" s="17" t="s">
        <v>19</v>
      </c>
      <c r="E11" s="9" t="s">
        <v>0</v>
      </c>
      <c r="F11" s="109">
        <f>SUM(Open[[#This Row],[PR 1]:[PR 3]])</f>
        <v>4340</v>
      </c>
      <c r="G11" s="109">
        <f>LARGE(Open[[#This Row],[TS SH O 22.02.22]:[PR3]],1)</f>
        <v>1738</v>
      </c>
      <c r="H11" s="109">
        <f>LARGE(Open[[#This Row],[TS SH O 22.02.22]:[PR3]],2)</f>
        <v>1562</v>
      </c>
      <c r="I11" s="109">
        <f>LARGE(Open[[#This Row],[TS SH O 22.02.22]:[PR3]],3)</f>
        <v>1040</v>
      </c>
      <c r="J11" s="9">
        <f>RANK(K11,$K$7:$K$295,0)</f>
        <v>3</v>
      </c>
      <c r="K11" s="109">
        <f>SUM(L11:W11)</f>
        <v>5764</v>
      </c>
      <c r="L11" s="109">
        <f>IFERROR(VLOOKUP(Open[[#This Row],[TS SH 22.02.22 Rang]],$AJ$16:$AK$111,2,0)*L$5," ")</f>
        <v>388</v>
      </c>
      <c r="M11" s="109" t="str">
        <f>IFERROR(VLOOKUP(Open[[#This Row],[TS SH O 23.04.22 Rang]],$AJ$16:$AK$111,2,0)*M$5," ")</f>
        <v xml:space="preserve"> </v>
      </c>
      <c r="N11" s="109">
        <f>IFERROR(VLOOKUP(Open[[#This Row],[TS LA O 08.05.22 Rang]],$AJ$16:$AK$111,2,0)*N$5," ")</f>
        <v>1738</v>
      </c>
      <c r="O11" s="109" t="str">
        <f>IFERROR(VLOOKUP(Open[[#This Row],[TS SG O 25.05.22 Rang]],$AJ$16:$AK$111,2,0)*O$5," ")</f>
        <v xml:space="preserve"> </v>
      </c>
      <c r="P11" s="109">
        <f>IFERROR(VLOOKUP(Open[[#This Row],[TS SH O 25.06.22 Rang]],$AJ$16:$AK$111,2,0)*P$5," ")</f>
        <v>1036</v>
      </c>
      <c r="Q11" s="109">
        <f>IFERROR(VLOOKUP(Open[[#This Row],[TS ZH O/A 25.06.22 Rang]],$AJ$16:$AK$111,2,0)*Q$5," ")</f>
        <v>1562</v>
      </c>
      <c r="R11" s="109" t="str">
        <f>IFERROR(VLOOKUP(Open[[#This Row],[TS ZH O/B 25.06.22 Rang]],$AJ$16:$AK$111,2,0)*R$5," ")</f>
        <v xml:space="preserve"> </v>
      </c>
      <c r="S11" s="109">
        <f>IFERROR(VLOOKUP(Open[[#This Row],[SM BE O/A 09.07.22 Rang]],$AJ$16:$AK$111,2,0)*S$5," ")</f>
        <v>1040</v>
      </c>
      <c r="T11" s="109" t="str">
        <f>IFERROR(VLOOKUP(Open[[#This Row],[SM BE O/B 09.07.22 Rang]],$AJ$16:$AK$111,2,0)*T$5," ")</f>
        <v xml:space="preserve"> </v>
      </c>
      <c r="U11" s="11">
        <v>0</v>
      </c>
      <c r="V11" s="11">
        <v>0</v>
      </c>
      <c r="W11" s="11">
        <v>0</v>
      </c>
      <c r="X11" s="60">
        <v>7</v>
      </c>
      <c r="Y11" s="191"/>
      <c r="Z11" s="200">
        <v>1</v>
      </c>
      <c r="AA11" s="191"/>
      <c r="AB11" s="200">
        <v>3</v>
      </c>
      <c r="AC11" s="200">
        <v>1</v>
      </c>
      <c r="AD11" s="191"/>
      <c r="AE11" s="200">
        <v>4</v>
      </c>
      <c r="AF11" s="19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6"/>
      <c r="AT11" s="16"/>
      <c r="AU11" s="16"/>
      <c r="AV11" s="16"/>
      <c r="AW11"/>
      <c r="AX11" s="16"/>
      <c r="AY11"/>
      <c r="AZ11" s="16"/>
      <c r="BA11" s="16"/>
      <c r="BD11" s="16"/>
      <c r="BE11" s="16"/>
      <c r="BF11" s="16"/>
      <c r="BG11" s="16"/>
      <c r="BH11" s="16"/>
      <c r="BI11" s="16"/>
    </row>
    <row r="12" spans="1:67" s="4" customFormat="1" x14ac:dyDescent="0.2">
      <c r="A12" s="17">
        <v>7</v>
      </c>
      <c r="B12" s="17">
        <f>IF(Open[[#This Row],[PR Rang beim letzten Turnier]]&gt;Open[[#This Row],[PR Rang]],1,IF(Open[[#This Row],[PR Rang beim letzten Turnier]]=Open[[#This Row],[PR Rang]],0,-1))</f>
        <v>1</v>
      </c>
      <c r="C12" s="112">
        <f>RANK(Open[[#This Row],[PR Punkte]],Open[PR Punkte],0)</f>
        <v>6</v>
      </c>
      <c r="D12" s="27" t="s">
        <v>181</v>
      </c>
      <c r="E12" s="9" t="s">
        <v>13</v>
      </c>
      <c r="F12" s="109">
        <f>SUM(Open[[#This Row],[PR 1]:[PR 3]])</f>
        <v>4282</v>
      </c>
      <c r="G12" s="109">
        <f>LARGE(Open[[#This Row],[TS SH O 22.02.22]:[PR3]],1)</f>
        <v>1872</v>
      </c>
      <c r="H12" s="109">
        <f>LARGE(Open[[#This Row],[TS SH O 22.02.22]:[PR3]],2)</f>
        <v>1332</v>
      </c>
      <c r="I12" s="109">
        <f>LARGE(Open[[#This Row],[TS SH O 22.02.22]:[PR3]],3)</f>
        <v>1078</v>
      </c>
      <c r="J12" s="9">
        <f>RANK(K12,$K$7:$K$295,0)</f>
        <v>7</v>
      </c>
      <c r="K12" s="109">
        <f>SUM(L12:W12)</f>
        <v>5230.2</v>
      </c>
      <c r="L12" s="109">
        <f>IFERROR(VLOOKUP(Open[[#This Row],[TS SH 22.02.22 Rang]],$AJ$16:$AK$111,2,0)*L$5," ")</f>
        <v>194</v>
      </c>
      <c r="M12" s="109">
        <f>IFERROR(VLOOKUP(Open[[#This Row],[TS SH O 23.04.22 Rang]],$AJ$16:$AK$111,2,0)*M$5," ")</f>
        <v>1078</v>
      </c>
      <c r="N12" s="109">
        <f>IFERROR(VLOOKUP(Open[[#This Row],[TS LA O 08.05.22 Rang]],$AJ$16:$AK$111,2,0)*N$5," ")</f>
        <v>458.20000000000005</v>
      </c>
      <c r="O12" s="109">
        <f>IFERROR(VLOOKUP(Open[[#This Row],[TS SG O 25.05.22 Rang]],$AJ$16:$AK$111,2,0)*O$5," ")</f>
        <v>296</v>
      </c>
      <c r="P12" s="109">
        <f>IFERROR(VLOOKUP(Open[[#This Row],[TS SH O 25.06.22 Rang]],$AJ$16:$AK$111,2,0)*P$5," ")</f>
        <v>1332</v>
      </c>
      <c r="Q12" s="109" t="str">
        <f>IFERROR(VLOOKUP(Open[[#This Row],[TS ZH O/A 25.06.22 Rang]],$AJ$16:$AK$111,2,0)*Q$5," ")</f>
        <v xml:space="preserve"> </v>
      </c>
      <c r="R12" s="109" t="str">
        <f>IFERROR(VLOOKUP(Open[[#This Row],[TS ZH O/B 25.06.22 Rang]],$AJ$16:$AK$111,2,0)*R$5," ")</f>
        <v xml:space="preserve"> </v>
      </c>
      <c r="S12" s="109">
        <f>IFERROR(VLOOKUP(Open[[#This Row],[SM BE O/A 09.07.22 Rang]],$AJ$16:$AK$111,2,0)*S$5," ")</f>
        <v>1872</v>
      </c>
      <c r="T12" s="109" t="str">
        <f>IFERROR(VLOOKUP(Open[[#This Row],[SM BE O/B 09.07.22 Rang]],$AJ$16:$AK$111,2,0)*T$5," ")</f>
        <v xml:space="preserve"> </v>
      </c>
      <c r="U12" s="11">
        <v>0</v>
      </c>
      <c r="V12" s="11">
        <v>0</v>
      </c>
      <c r="W12" s="11">
        <v>0</v>
      </c>
      <c r="X12" s="129">
        <v>11</v>
      </c>
      <c r="Y12" s="191">
        <v>3</v>
      </c>
      <c r="Z12" s="203">
        <v>5</v>
      </c>
      <c r="AA12" s="201">
        <v>7</v>
      </c>
      <c r="AB12" s="201">
        <v>2</v>
      </c>
      <c r="AC12" s="191"/>
      <c r="AD12" s="191"/>
      <c r="AE12" s="202">
        <v>2</v>
      </c>
      <c r="AF12" s="191"/>
      <c r="AG12" s="161"/>
      <c r="AH12" s="161"/>
      <c r="AI12" s="161"/>
      <c r="AJ12" s="161"/>
      <c r="AK12" s="161"/>
      <c r="AL12" s="161"/>
      <c r="AM12" s="17"/>
      <c r="AN12" s="17"/>
      <c r="AO12" s="17"/>
      <c r="AP12" s="17"/>
      <c r="AQ12" s="17"/>
      <c r="AR12" s="17"/>
      <c r="AS12" s="16"/>
      <c r="AT12" s="16"/>
      <c r="AU12" s="16"/>
      <c r="AV12" s="16"/>
      <c r="AW12"/>
      <c r="AX12" s="16"/>
      <c r="AY12"/>
      <c r="AZ12" s="16"/>
      <c r="BA12" s="16"/>
      <c r="BD12" s="16"/>
      <c r="BE12" s="16"/>
      <c r="BF12" s="16"/>
      <c r="BG12" s="16"/>
      <c r="BH12" s="16"/>
      <c r="BI12" s="16"/>
    </row>
    <row r="13" spans="1:67" s="4" customFormat="1" x14ac:dyDescent="0.2">
      <c r="A13" s="17">
        <v>6</v>
      </c>
      <c r="B13" s="17">
        <f>IF(Open[[#This Row],[PR Rang beim letzten Turnier]]&gt;Open[[#This Row],[PR Rang]],1,IF(Open[[#This Row],[PR Rang beim letzten Turnier]]=Open[[#This Row],[PR Rang]],0,-1))</f>
        <v>-1</v>
      </c>
      <c r="C13" s="112">
        <f>RANK(Open[[#This Row],[PR Punkte]],Open[PR Punkte],0)</f>
        <v>7</v>
      </c>
      <c r="D13" s="17" t="s">
        <v>20</v>
      </c>
      <c r="E13" s="9" t="s">
        <v>0</v>
      </c>
      <c r="F13" s="109">
        <f>SUM(Open[[#This Row],[PR 1]:[PR 3]])</f>
        <v>3814</v>
      </c>
      <c r="G13" s="109">
        <f>LARGE(Open[[#This Row],[TS SH O 22.02.22]:[PR3]],1)</f>
        <v>1738</v>
      </c>
      <c r="H13" s="109">
        <f>LARGE(Open[[#This Row],[TS SH O 22.02.22]:[PR3]],2)</f>
        <v>1040</v>
      </c>
      <c r="I13" s="109">
        <f>LARGE(Open[[#This Row],[TS SH O 22.02.22]:[PR3]],3)</f>
        <v>1036</v>
      </c>
      <c r="J13" s="9">
        <f>RANK(K13,$K$7:$K$295,0)</f>
        <v>6</v>
      </c>
      <c r="K13" s="109">
        <f>SUM(L13:W13)</f>
        <v>5238</v>
      </c>
      <c r="L13" s="109">
        <f>IFERROR(VLOOKUP(Open[[#This Row],[TS SH 22.02.22 Rang]],$AJ$16:$AK$111,2,0)*L$5," ")</f>
        <v>388</v>
      </c>
      <c r="M13" s="109" t="str">
        <f>IFERROR(VLOOKUP(Open[[#This Row],[TS SH O 23.04.22 Rang]],$AJ$16:$AK$111,2,0)*M$5," ")</f>
        <v xml:space="preserve"> </v>
      </c>
      <c r="N13" s="109">
        <f>IFERROR(VLOOKUP(Open[[#This Row],[TS LA O 08.05.22 Rang]],$AJ$16:$AK$111,2,0)*N$5," ")</f>
        <v>1738</v>
      </c>
      <c r="O13" s="109">
        <f>IFERROR(VLOOKUP(Open[[#This Row],[TS SG O 25.05.22 Rang]],$AJ$16:$AK$111,2,0)*O$5," ")</f>
        <v>1036</v>
      </c>
      <c r="P13" s="109">
        <f>IFERROR(VLOOKUP(Open[[#This Row],[TS SH O 25.06.22 Rang]],$AJ$16:$AK$111,2,0)*P$5," ")</f>
        <v>1036</v>
      </c>
      <c r="Q13" s="109" t="str">
        <f>IFERROR(VLOOKUP(Open[[#This Row],[TS ZH O/A 25.06.22 Rang]],$AJ$16:$AK$111,2,0)*Q$5," ")</f>
        <v xml:space="preserve"> </v>
      </c>
      <c r="R13" s="109" t="str">
        <f>IFERROR(VLOOKUP(Open[[#This Row],[TS ZH O/B 25.06.22 Rang]],$AJ$16:$AK$111,2,0)*R$5," ")</f>
        <v xml:space="preserve"> </v>
      </c>
      <c r="S13" s="109">
        <f>IFERROR(VLOOKUP(Open[[#This Row],[SM BE O/A 09.07.22 Rang]],$AJ$16:$AK$111,2,0)*S$5," ")</f>
        <v>1040</v>
      </c>
      <c r="T13" s="109" t="str">
        <f>IFERROR(VLOOKUP(Open[[#This Row],[SM BE O/B 09.07.22 Rang]],$AJ$16:$AK$111,2,0)*T$5," ")</f>
        <v xml:space="preserve"> </v>
      </c>
      <c r="U13" s="11">
        <v>0</v>
      </c>
      <c r="V13" s="11">
        <v>0</v>
      </c>
      <c r="W13" s="11">
        <v>0</v>
      </c>
      <c r="X13" s="60">
        <v>7</v>
      </c>
      <c r="Y13" s="191"/>
      <c r="Z13" s="200">
        <v>1</v>
      </c>
      <c r="AA13" s="200">
        <v>3</v>
      </c>
      <c r="AB13" s="200">
        <v>3</v>
      </c>
      <c r="AC13" s="191"/>
      <c r="AD13" s="191"/>
      <c r="AE13" s="200">
        <v>4</v>
      </c>
      <c r="AF13" s="191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6"/>
      <c r="AT13" s="16"/>
      <c r="AU13" s="16"/>
      <c r="AV13" s="16"/>
      <c r="AW13"/>
      <c r="AX13" s="16"/>
      <c r="AY13"/>
      <c r="AZ13" s="16"/>
      <c r="BA13" s="16"/>
      <c r="BD13" s="16"/>
      <c r="BE13" s="16"/>
      <c r="BF13" s="16"/>
      <c r="BG13" s="16"/>
      <c r="BH13" s="16"/>
      <c r="BI13" s="16"/>
    </row>
    <row r="14" spans="1:67" s="4" customFormat="1" x14ac:dyDescent="0.2">
      <c r="A14" s="11">
        <v>28</v>
      </c>
      <c r="B14" s="11">
        <f>IF(Open[[#This Row],[PR Rang beim letzten Turnier]]&gt;Open[[#This Row],[PR Rang]],1,IF(Open[[#This Row],[PR Rang beim letzten Turnier]]=Open[[#This Row],[PR Rang]],0,-1))</f>
        <v>1</v>
      </c>
      <c r="C14" s="112">
        <f>RANK(Open[[#This Row],[PR Punkte]],Open[PR Punkte],0)</f>
        <v>8</v>
      </c>
      <c r="D14" s="27" t="s">
        <v>154</v>
      </c>
      <c r="E14" s="9" t="s">
        <v>13</v>
      </c>
      <c r="F14" s="109">
        <f>SUM(Open[[#This Row],[PR 1]:[PR 3]])</f>
        <v>2950</v>
      </c>
      <c r="G14" s="109">
        <f>LARGE(Open[[#This Row],[TS SH O 22.02.22]:[PR3]],1)</f>
        <v>1872</v>
      </c>
      <c r="H14" s="109">
        <f>LARGE(Open[[#This Row],[TS SH O 22.02.22]:[PR3]],2)</f>
        <v>1078</v>
      </c>
      <c r="I14" s="109">
        <f>LARGE(Open[[#This Row],[TS SH O 22.02.22]:[PR3]],3)</f>
        <v>0</v>
      </c>
      <c r="J14" s="9">
        <f>RANK(K14,$K$7:$K$295,0)</f>
        <v>11</v>
      </c>
      <c r="K14" s="109">
        <f>SUM(L14:W14)</f>
        <v>2950</v>
      </c>
      <c r="L14" s="109" t="str">
        <f>IFERROR(VLOOKUP(Open[[#This Row],[TS SH 22.02.22 Rang]],$AJ$16:$AK$111,2,0)*L$5," ")</f>
        <v xml:space="preserve"> </v>
      </c>
      <c r="M14" s="109">
        <f>IFERROR(VLOOKUP(Open[[#This Row],[TS SH O 23.04.22 Rang]],$AJ$16:$AK$111,2,0)*M$5," ")</f>
        <v>1078</v>
      </c>
      <c r="N14" s="109" t="str">
        <f>IFERROR(VLOOKUP(Open[[#This Row],[TS LA O 08.05.22 Rang]],$AJ$16:$AK$111,2,0)*N$5," ")</f>
        <v xml:space="preserve"> </v>
      </c>
      <c r="O14" s="109" t="str">
        <f>IFERROR(VLOOKUP(Open[[#This Row],[TS SG O 25.05.22 Rang]],$AJ$16:$AK$111,2,0)*O$5," ")</f>
        <v xml:space="preserve"> </v>
      </c>
      <c r="P14" s="109" t="str">
        <f>IFERROR(VLOOKUP(Open[[#This Row],[TS SH O 25.06.22 Rang]],$AJ$16:$AK$111,2,0)*P$5," ")</f>
        <v xml:space="preserve"> </v>
      </c>
      <c r="Q14" s="109" t="str">
        <f>IFERROR(VLOOKUP(Open[[#This Row],[TS ZH O/A 25.06.22 Rang]],$AJ$16:$AK$111,2,0)*Q$5," ")</f>
        <v xml:space="preserve"> </v>
      </c>
      <c r="R14" s="109" t="str">
        <f>IFERROR(VLOOKUP(Open[[#This Row],[TS ZH O/B 25.06.22 Rang]],$AJ$16:$AK$111,2,0)*R$5," ")</f>
        <v xml:space="preserve"> </v>
      </c>
      <c r="S14" s="109">
        <f>IFERROR(VLOOKUP(Open[[#This Row],[SM BE O/A 09.07.22 Rang]],$AJ$16:$AK$111,2,0)*S$5," ")</f>
        <v>1872</v>
      </c>
      <c r="T14" s="109" t="str">
        <f>IFERROR(VLOOKUP(Open[[#This Row],[SM BE O/B 09.07.22 Rang]],$AJ$16:$AK$111,2,0)*T$5," ")</f>
        <v xml:space="preserve"> </v>
      </c>
      <c r="U14" s="11">
        <v>0</v>
      </c>
      <c r="V14" s="11">
        <v>0</v>
      </c>
      <c r="W14" s="11">
        <v>0</v>
      </c>
      <c r="X14" s="129"/>
      <c r="Y14" s="191">
        <v>3</v>
      </c>
      <c r="Z14" s="191"/>
      <c r="AA14" s="191"/>
      <c r="AB14" s="191"/>
      <c r="AC14" s="191"/>
      <c r="AD14" s="191"/>
      <c r="AE14" s="203">
        <v>2</v>
      </c>
      <c r="AF14" s="191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6"/>
      <c r="AT14" s="16"/>
      <c r="AV14" s="42"/>
      <c r="AW14"/>
      <c r="AX14" s="16"/>
      <c r="AY14"/>
      <c r="AZ14" s="42"/>
      <c r="BA14" s="16"/>
      <c r="BD14" s="16"/>
      <c r="BE14" s="16"/>
      <c r="BF14" s="16"/>
      <c r="BG14" s="16"/>
      <c r="BH14" s="16"/>
      <c r="BI14" s="16"/>
    </row>
    <row r="15" spans="1:67" s="4" customFormat="1" x14ac:dyDescent="0.2">
      <c r="A15" s="17">
        <v>8</v>
      </c>
      <c r="B15" s="17">
        <f>IF(Open[[#This Row],[PR Rang beim letzten Turnier]]&gt;Open[[#This Row],[PR Rang]],1,IF(Open[[#This Row],[PR Rang beim letzten Turnier]]=Open[[#This Row],[PR Rang]],0,-1))</f>
        <v>-1</v>
      </c>
      <c r="C15" s="112">
        <f>RANK(Open[[#This Row],[PR Punkte]],Open[PR Punkte],0)</f>
        <v>9</v>
      </c>
      <c r="D15" s="17" t="s">
        <v>52</v>
      </c>
      <c r="E15" s="9" t="s">
        <v>17</v>
      </c>
      <c r="F15" s="109">
        <f>SUM(Open[[#This Row],[PR 1]:[PR 3]])</f>
        <v>2796</v>
      </c>
      <c r="G15" s="109">
        <f>LARGE(Open[[#This Row],[TS SH O 22.02.22]:[PR3]],1)</f>
        <v>1386</v>
      </c>
      <c r="H15" s="109">
        <f>LARGE(Open[[#This Row],[TS SH O 22.02.22]:[PR3]],2)</f>
        <v>994</v>
      </c>
      <c r="I15" s="109">
        <f>LARGE(Open[[#This Row],[TS SH O 22.02.22]:[PR3]],3)</f>
        <v>416</v>
      </c>
      <c r="J15" s="9">
        <f>RANK(K15,$K$7:$K$295,0)</f>
        <v>9</v>
      </c>
      <c r="K15" s="109">
        <f>SUM(L15:W15)</f>
        <v>2990</v>
      </c>
      <c r="L15" s="109">
        <f>IFERROR(VLOOKUP(Open[[#This Row],[TS SH 22.02.22 Rang]],$AJ$16:$AK$111,2,0)*L$5," ")</f>
        <v>194</v>
      </c>
      <c r="M15" s="109">
        <f>IFERROR(VLOOKUP(Open[[#This Row],[TS SH O 23.04.22 Rang]],$AJ$16:$AK$111,2,0)*M$5," ")</f>
        <v>1386</v>
      </c>
      <c r="N15" s="109" t="str">
        <f>IFERROR(VLOOKUP(Open[[#This Row],[TS LA O 08.05.22 Rang]],$AJ$16:$AK$111,2,0)*N$5," ")</f>
        <v xml:space="preserve"> </v>
      </c>
      <c r="O15" s="109" t="str">
        <f>IFERROR(VLOOKUP(Open[[#This Row],[TS SG O 25.05.22 Rang]],$AJ$16:$AK$111,2,0)*O$5," ")</f>
        <v xml:space="preserve"> </v>
      </c>
      <c r="P15" s="109" t="str">
        <f>IFERROR(VLOOKUP(Open[[#This Row],[TS SH O 25.06.22 Rang]],$AJ$16:$AK$111,2,0)*P$5," ")</f>
        <v xml:space="preserve"> </v>
      </c>
      <c r="Q15" s="109">
        <f>IFERROR(VLOOKUP(Open[[#This Row],[TS ZH O/A 25.06.22 Rang]],$AJ$16:$AK$111,2,0)*Q$5," ")</f>
        <v>994</v>
      </c>
      <c r="R15" s="109" t="str">
        <f>IFERROR(VLOOKUP(Open[[#This Row],[TS ZH O/B 25.06.22 Rang]],$AJ$16:$AK$111,2,0)*R$5," ")</f>
        <v xml:space="preserve"> </v>
      </c>
      <c r="S15" s="109">
        <f>IFERROR(VLOOKUP(Open[[#This Row],[SM BE O/A 09.07.22 Rang]],$AJ$16:$AK$111,2,0)*S$5," ")</f>
        <v>416</v>
      </c>
      <c r="T15" s="109" t="str">
        <f>IFERROR(VLOOKUP(Open[[#This Row],[SM BE O/B 09.07.22 Rang]],$AJ$16:$AK$111,2,0)*T$5," ")</f>
        <v xml:space="preserve"> </v>
      </c>
      <c r="U15" s="11">
        <v>0</v>
      </c>
      <c r="V15" s="11">
        <v>0</v>
      </c>
      <c r="W15" s="11">
        <v>0</v>
      </c>
      <c r="X15" s="60">
        <v>9</v>
      </c>
      <c r="Y15" s="200">
        <v>2</v>
      </c>
      <c r="Z15" s="191"/>
      <c r="AA15" s="191"/>
      <c r="AB15" s="191"/>
      <c r="AC15" s="201">
        <v>3</v>
      </c>
      <c r="AD15" s="191"/>
      <c r="AE15" s="200">
        <v>7</v>
      </c>
      <c r="AF15" s="191"/>
      <c r="AG15" s="48"/>
      <c r="AH15" s="48"/>
      <c r="AI15" s="48"/>
      <c r="AJ15" s="291" t="s">
        <v>395</v>
      </c>
      <c r="AK15" s="291"/>
      <c r="AL15" s="48"/>
      <c r="AM15" s="137" t="s">
        <v>397</v>
      </c>
      <c r="AN15" s="113"/>
      <c r="AO15" s="17"/>
      <c r="AP15" s="17"/>
      <c r="AQ15" s="154"/>
      <c r="AR15" s="17"/>
      <c r="AS15" s="16"/>
      <c r="AT15" s="16"/>
      <c r="AV15" s="44"/>
      <c r="AW15"/>
      <c r="AX15" s="16"/>
      <c r="AY15"/>
      <c r="AZ15" s="44"/>
      <c r="BA15" s="16"/>
      <c r="BD15" s="16"/>
      <c r="BE15" s="16"/>
      <c r="BF15" s="16"/>
      <c r="BG15" s="16"/>
      <c r="BH15" s="16"/>
      <c r="BI15" s="16"/>
    </row>
    <row r="16" spans="1:67" s="4" customFormat="1" x14ac:dyDescent="0.2">
      <c r="A16" s="17">
        <v>9</v>
      </c>
      <c r="B16" s="17">
        <f>IF(Open[[#This Row],[PR Rang beim letzten Turnier]]&gt;Open[[#This Row],[PR Rang]],1,IF(Open[[#This Row],[PR Rang beim letzten Turnier]]=Open[[#This Row],[PR Rang]],0,-1))</f>
        <v>-1</v>
      </c>
      <c r="C16" s="112">
        <f>RANK(Open[[#This Row],[PR Punkte]],Open[PR Punkte],0)</f>
        <v>10</v>
      </c>
      <c r="D16" s="27" t="s">
        <v>185</v>
      </c>
      <c r="E16" s="9" t="s">
        <v>0</v>
      </c>
      <c r="F16" s="109">
        <f>SUM(Open[[#This Row],[PR 1]:[PR 3]])</f>
        <v>2361.4</v>
      </c>
      <c r="G16" s="109">
        <f>LARGE(Open[[#This Row],[TS SH O 22.02.22]:[PR3]],1)</f>
        <v>1422</v>
      </c>
      <c r="H16" s="109">
        <f>LARGE(Open[[#This Row],[TS SH O 22.02.22]:[PR3]],2)</f>
        <v>710</v>
      </c>
      <c r="I16" s="109">
        <f>LARGE(Open[[#This Row],[TS SH O 22.02.22]:[PR3]],3)</f>
        <v>229.4</v>
      </c>
      <c r="J16" s="9">
        <f>RANK(K16,$K$7:$K$295,0)</f>
        <v>12</v>
      </c>
      <c r="K16" s="109">
        <f>SUM(L16:W16)</f>
        <v>2717.4</v>
      </c>
      <c r="L16" s="109" t="str">
        <f>IFERROR(VLOOKUP(Open[[#This Row],[TS SH 22.02.22 Rang]],$AJ$16:$AK$111,2,0)*L$5," ")</f>
        <v xml:space="preserve"> </v>
      </c>
      <c r="M16" s="109" t="str">
        <f>IFERROR(VLOOKUP(Open[[#This Row],[TS SH O 23.04.22 Rang]],$AJ$16:$AK$111,2,0)*M$5," ")</f>
        <v xml:space="preserve"> </v>
      </c>
      <c r="N16" s="109">
        <f>IFERROR(VLOOKUP(Open[[#This Row],[TS LA O 08.05.22 Rang]],$AJ$16:$AK$111,2,0)*N$5," ")</f>
        <v>1422</v>
      </c>
      <c r="O16" s="109">
        <f>IFERROR(VLOOKUP(Open[[#This Row],[TS SG O 25.05.22 Rang]],$AJ$16:$AK$111,2,0)*O$5," ")</f>
        <v>148</v>
      </c>
      <c r="P16" s="109">
        <f>IFERROR(VLOOKUP(Open[[#This Row],[TS SH O 25.06.22 Rang]],$AJ$16:$AK$111,2,0)*P$5," ")</f>
        <v>229.4</v>
      </c>
      <c r="Q16" s="109">
        <f>IFERROR(VLOOKUP(Open[[#This Row],[TS ZH O/A 25.06.22 Rang]],$AJ$16:$AK$111,2,0)*Q$5," ")</f>
        <v>710</v>
      </c>
      <c r="R16" s="109" t="str">
        <f>IFERROR(VLOOKUP(Open[[#This Row],[TS ZH O/B 25.06.22 Rang]],$AJ$16:$AK$111,2,0)*R$5," ")</f>
        <v xml:space="preserve"> </v>
      </c>
      <c r="S16" s="109">
        <f>IFERROR(VLOOKUP(Open[[#This Row],[SM BE O/A 09.07.22 Rang]],$AJ$16:$AK$111,2,0)*S$5," ")</f>
        <v>208</v>
      </c>
      <c r="T16" s="109" t="str">
        <f>IFERROR(VLOOKUP(Open[[#This Row],[SM BE O/B 09.07.22 Rang]],$AJ$16:$AK$111,2,0)*T$5," ")</f>
        <v xml:space="preserve"> </v>
      </c>
      <c r="U16" s="11">
        <v>0</v>
      </c>
      <c r="V16" s="11">
        <v>0</v>
      </c>
      <c r="W16" s="11">
        <v>0</v>
      </c>
      <c r="X16" s="129"/>
      <c r="Y16" s="191"/>
      <c r="Z16" s="203">
        <v>2</v>
      </c>
      <c r="AA16" s="201">
        <v>11</v>
      </c>
      <c r="AB16" s="201">
        <v>8</v>
      </c>
      <c r="AC16" s="202">
        <v>4</v>
      </c>
      <c r="AD16" s="191"/>
      <c r="AE16" s="202">
        <v>11</v>
      </c>
      <c r="AF16" s="191"/>
      <c r="AG16" s="17"/>
      <c r="AH16" s="17"/>
      <c r="AI16" s="17"/>
      <c r="AJ16" s="170" t="s">
        <v>5</v>
      </c>
      <c r="AK16" s="170" t="s">
        <v>6</v>
      </c>
      <c r="AL16" s="17"/>
      <c r="AM16" s="290" t="s">
        <v>465</v>
      </c>
      <c r="AN16" s="290"/>
      <c r="AO16" s="290"/>
      <c r="AP16" s="290"/>
      <c r="AQ16" s="290"/>
      <c r="AR16" s="290"/>
      <c r="AS16" s="290"/>
      <c r="AT16" s="16"/>
      <c r="AV16" s="46"/>
      <c r="AW16"/>
      <c r="AX16" s="16"/>
      <c r="AY16"/>
      <c r="AZ16" s="46"/>
      <c r="BA16" s="16"/>
      <c r="BD16" s="16"/>
      <c r="BE16" s="16"/>
      <c r="BF16" s="16"/>
      <c r="BG16" s="16"/>
      <c r="BH16" s="16"/>
      <c r="BI16" s="16"/>
    </row>
    <row r="17" spans="1:61" s="4" customFormat="1" x14ac:dyDescent="0.2">
      <c r="A17" s="17">
        <v>12</v>
      </c>
      <c r="B17" s="17">
        <f>IF(Open[[#This Row],[PR Rang beim letzten Turnier]]&gt;Open[[#This Row],[PR Rang]],1,IF(Open[[#This Row],[PR Rang beim letzten Turnier]]=Open[[#This Row],[PR Rang]],0,-1))</f>
        <v>1</v>
      </c>
      <c r="C17" s="112">
        <f>RANK(Open[[#This Row],[PR Punkte]],Open[PR Punkte],0)</f>
        <v>11</v>
      </c>
      <c r="D17" s="17" t="s">
        <v>190</v>
      </c>
      <c r="E17" s="9" t="s">
        <v>7</v>
      </c>
      <c r="F17" s="109">
        <f>SUM(Open[[#This Row],[PR 1]:[PR 3]])</f>
        <v>2178.1999999999998</v>
      </c>
      <c r="G17" s="109">
        <f>LARGE(Open[[#This Row],[TS SH O 22.02.22]:[PR3]],1)</f>
        <v>1106</v>
      </c>
      <c r="H17" s="109">
        <f>LARGE(Open[[#This Row],[TS SH O 22.02.22]:[PR3]],2)</f>
        <v>562.6</v>
      </c>
      <c r="I17" s="109">
        <f>LARGE(Open[[#This Row],[TS SH O 22.02.22]:[PR3]],3)</f>
        <v>509.6</v>
      </c>
      <c r="J17" s="9">
        <f>RANK(K17,$K$7:$K$295,0)</f>
        <v>10</v>
      </c>
      <c r="K17" s="109">
        <f>SUM(L17:W17)</f>
        <v>2987.3999999999996</v>
      </c>
      <c r="L17" s="109">
        <f>IFERROR(VLOOKUP(Open[[#This Row],[TS SH 22.02.22 Rang]],$AJ$16:$AK$111,2,0)*L$5," ")</f>
        <v>562.6</v>
      </c>
      <c r="M17" s="109">
        <f>IFERROR(VLOOKUP(Open[[#This Row],[TS SH O 23.04.22 Rang]],$AJ$16:$AK$111,2,0)*M$5," ")</f>
        <v>446.6</v>
      </c>
      <c r="N17" s="109">
        <f>IFERROR(VLOOKUP(Open[[#This Row],[TS LA O 08.05.22 Rang]],$AJ$16:$AK$111,2,0)*N$5," ")</f>
        <v>1106</v>
      </c>
      <c r="O17" s="109">
        <f>IFERROR(VLOOKUP(Open[[#This Row],[TS SG O 25.05.22 Rang]],$AJ$16:$AK$111,2,0)*O$5," ")</f>
        <v>362.6</v>
      </c>
      <c r="P17" s="109" t="str">
        <f>IFERROR(VLOOKUP(Open[[#This Row],[TS SH O 25.06.22 Rang]],$AJ$16:$AK$111,2,0)*P$5," ")</f>
        <v xml:space="preserve"> </v>
      </c>
      <c r="Q17" s="109" t="str">
        <f>IFERROR(VLOOKUP(Open[[#This Row],[TS ZH O/A 25.06.22 Rang]],$AJ$16:$AK$111,2,0)*Q$5," ")</f>
        <v xml:space="preserve"> </v>
      </c>
      <c r="R17" s="109" t="str">
        <f>IFERROR(VLOOKUP(Open[[#This Row],[TS ZH O/B 25.06.22 Rang]],$AJ$16:$AK$111,2,0)*R$5," ")</f>
        <v xml:space="preserve"> </v>
      </c>
      <c r="S17" s="109">
        <f>IFERROR(VLOOKUP(Open[[#This Row],[SM BE O/A 09.07.22 Rang]],$AJ$16:$AK$111,2,0)*S$5," ")</f>
        <v>509.6</v>
      </c>
      <c r="T17" s="109" t="str">
        <f>IFERROR(VLOOKUP(Open[[#This Row],[SM BE O/B 09.07.22 Rang]],$AJ$16:$AK$111,2,0)*T$5," ")</f>
        <v xml:space="preserve"> </v>
      </c>
      <c r="U17" s="11">
        <v>0</v>
      </c>
      <c r="V17" s="11">
        <v>0</v>
      </c>
      <c r="W17" s="11">
        <v>0</v>
      </c>
      <c r="X17" s="61">
        <v>5</v>
      </c>
      <c r="Y17" s="202">
        <v>5</v>
      </c>
      <c r="Z17" s="202">
        <v>3</v>
      </c>
      <c r="AA17" s="201">
        <v>6</v>
      </c>
      <c r="AB17" s="191"/>
      <c r="AC17" s="191"/>
      <c r="AD17" s="191"/>
      <c r="AE17" s="200">
        <v>6</v>
      </c>
      <c r="AF17" s="191"/>
      <c r="AG17" s="17"/>
      <c r="AH17" s="17"/>
      <c r="AI17" s="17"/>
      <c r="AJ17" s="155">
        <v>1</v>
      </c>
      <c r="AK17" s="155">
        <v>1100</v>
      </c>
      <c r="AL17" s="17"/>
      <c r="AM17" s="17"/>
      <c r="AN17" s="17"/>
      <c r="AO17" s="17"/>
      <c r="AP17" s="17"/>
      <c r="AQ17" s="162"/>
      <c r="AR17" s="44"/>
      <c r="AS17" s="44"/>
      <c r="AT17" s="16"/>
      <c r="AV17" s="46"/>
      <c r="AW17"/>
      <c r="AX17" s="16"/>
      <c r="AY17"/>
      <c r="AZ17" s="46"/>
      <c r="BA17" s="16"/>
      <c r="BD17" s="16"/>
      <c r="BE17" s="16"/>
      <c r="BF17" s="16"/>
      <c r="BG17" s="16"/>
      <c r="BH17" s="16"/>
      <c r="BI17" s="16"/>
    </row>
    <row r="18" spans="1:61" s="4" customFormat="1" x14ac:dyDescent="0.2">
      <c r="A18" s="17">
        <v>10</v>
      </c>
      <c r="B18" s="17">
        <f>IF(Open[[#This Row],[PR Rang beim letzten Turnier]]&gt;Open[[#This Row],[PR Rang]],1,IF(Open[[#This Row],[PR Rang beim letzten Turnier]]=Open[[#This Row],[PR Rang]],0,-1))</f>
        <v>-1</v>
      </c>
      <c r="C18" s="112">
        <f>RANK(Open[[#This Row],[PR Punkte]],Open[PR Punkte],0)</f>
        <v>12</v>
      </c>
      <c r="D18" s="43" t="s">
        <v>232</v>
      </c>
      <c r="E18" s="11" t="s">
        <v>0</v>
      </c>
      <c r="F18" s="109">
        <f>SUM(Open[[#This Row],[PR 1]:[PR 3]])</f>
        <v>2133.1</v>
      </c>
      <c r="G18" s="109">
        <f>LARGE(Open[[#This Row],[TS SH O 22.02.22]:[PR3]],1)</f>
        <v>1036</v>
      </c>
      <c r="H18" s="109">
        <f>LARGE(Open[[#This Row],[TS SH O 22.02.22]:[PR3]],2)</f>
        <v>710</v>
      </c>
      <c r="I18" s="109">
        <f>LARGE(Open[[#This Row],[TS SH O 22.02.22]:[PR3]],3)</f>
        <v>387.1</v>
      </c>
      <c r="J18" s="11">
        <f>RANK(K18,$K$7:$K$295,0)</f>
        <v>16</v>
      </c>
      <c r="K18" s="109">
        <f>SUM(L18:W18)</f>
        <v>2341.1</v>
      </c>
      <c r="L18" s="109" t="str">
        <f>IFERROR(VLOOKUP(Open[[#This Row],[TS SH 22.02.22 Rang]],$AJ$16:$AK$111,2,0)*L$5," ")</f>
        <v xml:space="preserve"> </v>
      </c>
      <c r="M18" s="109" t="str">
        <f>IFERROR(VLOOKUP(Open[[#This Row],[TS SH O 23.04.22 Rang]],$AJ$16:$AK$111,2,0)*M$5," ")</f>
        <v xml:space="preserve"> </v>
      </c>
      <c r="N18" s="109">
        <f>IFERROR(VLOOKUP(Open[[#This Row],[TS LA O 08.05.22 Rang]],$AJ$16:$AK$111,2,0)*N$5," ")</f>
        <v>387.1</v>
      </c>
      <c r="O18" s="109">
        <f>IFERROR(VLOOKUP(Open[[#This Row],[TS SG O 25.05.22 Rang]],$AJ$16:$AK$111,2,0)*O$5," ")</f>
        <v>1036</v>
      </c>
      <c r="P18" s="109" t="str">
        <f>IFERROR(VLOOKUP(Open[[#This Row],[TS SH O 25.06.22 Rang]],$AJ$16:$AK$111,2,0)*P$5," ")</f>
        <v xml:space="preserve"> </v>
      </c>
      <c r="Q18" s="109">
        <f>IFERROR(VLOOKUP(Open[[#This Row],[TS ZH O/A 25.06.22 Rang]],$AJ$16:$AK$111,2,0)*Q$5," ")</f>
        <v>710</v>
      </c>
      <c r="R18" s="109" t="str">
        <f>IFERROR(VLOOKUP(Open[[#This Row],[TS ZH O/B 25.06.22 Rang]],$AJ$16:$AK$111,2,0)*R$5," ")</f>
        <v xml:space="preserve"> </v>
      </c>
      <c r="S18" s="109">
        <f>IFERROR(VLOOKUP(Open[[#This Row],[SM BE O/A 09.07.22 Rang]],$AJ$16:$AK$111,2,0)*S$5," ")</f>
        <v>208</v>
      </c>
      <c r="T18" s="109" t="str">
        <f>IFERROR(VLOOKUP(Open[[#This Row],[SM BE O/B 09.07.22 Rang]],$AJ$16:$AK$111,2,0)*T$5," ")</f>
        <v xml:space="preserve"> </v>
      </c>
      <c r="U18" s="11">
        <v>0</v>
      </c>
      <c r="V18" s="11">
        <v>0</v>
      </c>
      <c r="W18" s="11">
        <v>0</v>
      </c>
      <c r="X18" s="129"/>
      <c r="Y18" s="191"/>
      <c r="Z18" s="203">
        <v>6</v>
      </c>
      <c r="AA18" s="203">
        <v>3</v>
      </c>
      <c r="AB18" s="191"/>
      <c r="AC18" s="202">
        <v>4</v>
      </c>
      <c r="AD18" s="191"/>
      <c r="AE18" s="202">
        <v>11</v>
      </c>
      <c r="AF18" s="191"/>
      <c r="AG18" s="161"/>
      <c r="AH18" s="161"/>
      <c r="AI18" s="161"/>
      <c r="AJ18" s="163">
        <v>2</v>
      </c>
      <c r="AK18" s="163">
        <v>900</v>
      </c>
      <c r="AL18" s="161"/>
      <c r="AM18" s="156" t="s">
        <v>399</v>
      </c>
      <c r="AN18" s="60">
        <v>0.06</v>
      </c>
      <c r="AO18" s="17" t="s">
        <v>398</v>
      </c>
      <c r="AP18" s="17"/>
      <c r="AQ18" s="164" t="s">
        <v>403</v>
      </c>
      <c r="AR18" s="165"/>
      <c r="AS18" s="55"/>
      <c r="AT18" s="35"/>
      <c r="AU18" s="35"/>
      <c r="AV18" s="46"/>
      <c r="AW18"/>
      <c r="AX18" s="16"/>
      <c r="AY18"/>
      <c r="AZ18" s="46"/>
      <c r="BA18" s="16"/>
      <c r="BD18" s="16"/>
      <c r="BE18" s="16"/>
      <c r="BF18" s="16"/>
      <c r="BG18" s="16"/>
      <c r="BH18" s="16"/>
      <c r="BI18" s="16"/>
    </row>
    <row r="19" spans="1:61" s="4" customFormat="1" x14ac:dyDescent="0.2">
      <c r="A19" s="17">
        <v>11</v>
      </c>
      <c r="B19" s="17">
        <f>IF(Open[[#This Row],[PR Rang beim letzten Turnier]]&gt;Open[[#This Row],[PR Rang]],1,IF(Open[[#This Row],[PR Rang beim letzten Turnier]]=Open[[#This Row],[PR Rang]],0,-1))</f>
        <v>-1</v>
      </c>
      <c r="C19" s="112">
        <f>RANK(Open[[#This Row],[PR Punkte]],Open[PR Punkte],0)</f>
        <v>13</v>
      </c>
      <c r="D19" s="17" t="s">
        <v>78</v>
      </c>
      <c r="E19" s="9" t="s">
        <v>16</v>
      </c>
      <c r="F19" s="109">
        <f>SUM(Open[[#This Row],[PR 1]:[PR 3]])</f>
        <v>2115.9</v>
      </c>
      <c r="G19" s="109">
        <f>LARGE(Open[[#This Row],[TS SH O 22.02.22]:[PR3]],1)</f>
        <v>1278</v>
      </c>
      <c r="H19" s="109">
        <f>LARGE(Open[[#This Row],[TS SH O 22.02.22]:[PR3]],2)</f>
        <v>475.3</v>
      </c>
      <c r="I19" s="109">
        <f>LARGE(Open[[#This Row],[TS SH O 22.02.22]:[PR3]],3)</f>
        <v>362.6</v>
      </c>
      <c r="J19" s="9">
        <f>RANK(K19,$K$7:$K$295,0)</f>
        <v>8</v>
      </c>
      <c r="K19" s="109">
        <f>SUM(L19:W19)</f>
        <v>3062.3</v>
      </c>
      <c r="L19" s="109">
        <f>IFERROR(VLOOKUP(Open[[#This Row],[TS SH 22.02.22 Rang]],$AJ$16:$AK$111,2,0)*L$5," ")</f>
        <v>475.3</v>
      </c>
      <c r="M19" s="109">
        <f>IFERROR(VLOOKUP(Open[[#This Row],[TS SH O 23.04.22 Rang]],$AJ$16:$AK$111,2,0)*M$5," ")</f>
        <v>308</v>
      </c>
      <c r="N19" s="109">
        <f>IFERROR(VLOOKUP(Open[[#This Row],[TS LA O 08.05.22 Rang]],$AJ$16:$AK$111,2,0)*N$5," ")</f>
        <v>316</v>
      </c>
      <c r="O19" s="109" t="str">
        <f>IFERROR(VLOOKUP(Open[[#This Row],[TS SG O 25.05.22 Rang]],$AJ$16:$AK$111,2,0)*O$5," ")</f>
        <v xml:space="preserve"> </v>
      </c>
      <c r="P19" s="109">
        <f>IFERROR(VLOOKUP(Open[[#This Row],[TS SH O 25.06.22 Rang]],$AJ$16:$AK$111,2,0)*P$5," ")</f>
        <v>362.6</v>
      </c>
      <c r="Q19" s="109">
        <f>IFERROR(VLOOKUP(Open[[#This Row],[TS ZH O/A 25.06.22 Rang]],$AJ$16:$AK$111,2,0)*Q$5," ")</f>
        <v>1278</v>
      </c>
      <c r="R19" s="109" t="str">
        <f>IFERROR(VLOOKUP(Open[[#This Row],[TS ZH O/B 25.06.22 Rang]],$AJ$16:$AK$111,2,0)*R$5," ")</f>
        <v xml:space="preserve"> </v>
      </c>
      <c r="S19" s="109">
        <f>IFERROR(VLOOKUP(Open[[#This Row],[SM BE O/A 09.07.22 Rang]],$AJ$16:$AK$111,2,0)*S$5," ")</f>
        <v>322.40000000000003</v>
      </c>
      <c r="T19" s="109" t="str">
        <f>IFERROR(VLOOKUP(Open[[#This Row],[SM BE O/B 09.07.22 Rang]],$AJ$16:$AK$111,2,0)*T$5," ")</f>
        <v xml:space="preserve"> </v>
      </c>
      <c r="U19" s="11">
        <v>0</v>
      </c>
      <c r="V19" s="11">
        <v>0</v>
      </c>
      <c r="W19" s="11">
        <v>0</v>
      </c>
      <c r="X19" s="122">
        <v>6</v>
      </c>
      <c r="Y19" s="202">
        <v>7</v>
      </c>
      <c r="Z19" s="202">
        <v>7</v>
      </c>
      <c r="AA19" s="191"/>
      <c r="AB19" s="203">
        <v>6</v>
      </c>
      <c r="AC19" s="201">
        <v>2</v>
      </c>
      <c r="AD19" s="191"/>
      <c r="AE19" s="202">
        <v>8</v>
      </c>
      <c r="AF19" s="191"/>
      <c r="AG19" s="17"/>
      <c r="AH19" s="17"/>
      <c r="AI19" s="17"/>
      <c r="AJ19" s="155">
        <v>3</v>
      </c>
      <c r="AK19" s="155">
        <v>700</v>
      </c>
      <c r="AL19" s="17"/>
      <c r="AM19" s="156" t="s">
        <v>399</v>
      </c>
      <c r="AN19" s="61">
        <v>0.04</v>
      </c>
      <c r="AO19" s="17" t="s">
        <v>400</v>
      </c>
      <c r="AP19" s="17"/>
      <c r="AQ19" s="17"/>
      <c r="AR19" s="11"/>
      <c r="AS19" s="46"/>
      <c r="AT19" s="16"/>
      <c r="AV19" s="46"/>
      <c r="AW19"/>
      <c r="AX19" s="16"/>
      <c r="AY19"/>
      <c r="AZ19" s="46"/>
      <c r="BA19" s="16"/>
      <c r="BD19" s="16"/>
      <c r="BE19" s="16"/>
      <c r="BF19" s="16"/>
      <c r="BG19" s="16"/>
      <c r="BH19" s="16"/>
      <c r="BI19" s="16"/>
    </row>
    <row r="20" spans="1:61" s="4" customFormat="1" x14ac:dyDescent="0.2">
      <c r="A20" s="17">
        <v>18</v>
      </c>
      <c r="B20" s="17">
        <f>IF(Open[[#This Row],[PR Rang beim letzten Turnier]]&gt;Open[[#This Row],[PR Rang]],1,IF(Open[[#This Row],[PR Rang beim letzten Turnier]]=Open[[#This Row],[PR Rang]],0,-1))</f>
        <v>1</v>
      </c>
      <c r="C20" s="112">
        <f>RANK(Open[[#This Row],[PR Punkte]],Open[PR Punkte],0)</f>
        <v>14</v>
      </c>
      <c r="D20" s="17" t="s">
        <v>51</v>
      </c>
      <c r="E20" s="9" t="s">
        <v>17</v>
      </c>
      <c r="F20" s="109">
        <f>SUM(Open[[#This Row],[PR 1]:[PR 3]])</f>
        <v>1996</v>
      </c>
      <c r="G20" s="109">
        <f>LARGE(Open[[#This Row],[TS SH O 22.02.22]:[PR3]],1)</f>
        <v>1386</v>
      </c>
      <c r="H20" s="109">
        <f>LARGE(Open[[#This Row],[TS SH O 22.02.22]:[PR3]],2)</f>
        <v>416</v>
      </c>
      <c r="I20" s="109">
        <f>LARGE(Open[[#This Row],[TS SH O 22.02.22]:[PR3]],3)</f>
        <v>194</v>
      </c>
      <c r="J20" s="9">
        <f>RANK(K20,$K$7:$K$295,0)</f>
        <v>18</v>
      </c>
      <c r="K20" s="109">
        <f>SUM(L20:W20)</f>
        <v>1996</v>
      </c>
      <c r="L20" s="109">
        <f>IFERROR(VLOOKUP(Open[[#This Row],[TS SH 22.02.22 Rang]],$AJ$16:$AK$111,2,0)*L$5," ")</f>
        <v>194</v>
      </c>
      <c r="M20" s="109">
        <f>IFERROR(VLOOKUP(Open[[#This Row],[TS SH O 23.04.22 Rang]],$AJ$16:$AK$111,2,0)*M$5," ")</f>
        <v>1386</v>
      </c>
      <c r="N20" s="109" t="str">
        <f>IFERROR(VLOOKUP(Open[[#This Row],[TS LA O 08.05.22 Rang]],$AJ$16:$AK$111,2,0)*N$5," ")</f>
        <v xml:space="preserve"> </v>
      </c>
      <c r="O20" s="109" t="str">
        <f>IFERROR(VLOOKUP(Open[[#This Row],[TS SG O 25.05.22 Rang]],$AJ$16:$AK$111,2,0)*O$5," ")</f>
        <v xml:space="preserve"> </v>
      </c>
      <c r="P20" s="109" t="str">
        <f>IFERROR(VLOOKUP(Open[[#This Row],[TS SH O 25.06.22 Rang]],$AJ$16:$AK$111,2,0)*P$5," ")</f>
        <v xml:space="preserve"> </v>
      </c>
      <c r="Q20" s="109" t="str">
        <f>IFERROR(VLOOKUP(Open[[#This Row],[TS ZH O/A 25.06.22 Rang]],$AJ$16:$AK$111,2,0)*Q$5," ")</f>
        <v xml:space="preserve"> </v>
      </c>
      <c r="R20" s="109" t="str">
        <f>IFERROR(VLOOKUP(Open[[#This Row],[TS ZH O/B 25.06.22 Rang]],$AJ$16:$AK$111,2,0)*R$5," ")</f>
        <v xml:space="preserve"> </v>
      </c>
      <c r="S20" s="109">
        <f>IFERROR(VLOOKUP(Open[[#This Row],[SM BE O/A 09.07.22 Rang]],$AJ$16:$AK$111,2,0)*S$5," ")</f>
        <v>416</v>
      </c>
      <c r="T20" s="109" t="str">
        <f>IFERROR(VLOOKUP(Open[[#This Row],[SM BE O/B 09.07.22 Rang]],$AJ$16:$AK$111,2,0)*T$5," ")</f>
        <v xml:space="preserve"> </v>
      </c>
      <c r="U20" s="11">
        <v>0</v>
      </c>
      <c r="V20" s="11">
        <v>0</v>
      </c>
      <c r="W20" s="11">
        <v>0</v>
      </c>
      <c r="X20" s="60">
        <v>9</v>
      </c>
      <c r="Y20" s="200">
        <v>2</v>
      </c>
      <c r="Z20" s="191"/>
      <c r="AA20" s="191"/>
      <c r="AB20" s="191"/>
      <c r="AC20" s="191"/>
      <c r="AD20" s="191"/>
      <c r="AE20" s="200">
        <v>7</v>
      </c>
      <c r="AF20" s="191"/>
      <c r="AG20" s="17"/>
      <c r="AH20" s="17"/>
      <c r="AI20" s="17"/>
      <c r="AJ20" s="155">
        <v>4</v>
      </c>
      <c r="AK20" s="155">
        <v>500</v>
      </c>
      <c r="AL20" s="17"/>
      <c r="AM20" s="156" t="s">
        <v>399</v>
      </c>
      <c r="AN20" s="62">
        <v>0.02</v>
      </c>
      <c r="AO20" s="17" t="s">
        <v>401</v>
      </c>
      <c r="AP20" s="17"/>
      <c r="AQ20" s="166" t="s">
        <v>404</v>
      </c>
      <c r="AR20" s="167"/>
      <c r="AS20" s="56"/>
      <c r="AT20" s="53"/>
      <c r="AU20" s="53"/>
      <c r="AV20" s="46"/>
      <c r="AW20"/>
      <c r="AX20" s="16"/>
      <c r="AY20"/>
      <c r="AZ20" s="46"/>
      <c r="BA20" s="16"/>
      <c r="BD20" s="16"/>
      <c r="BE20" s="16"/>
      <c r="BF20" s="16"/>
      <c r="BG20" s="16"/>
      <c r="BH20" s="16"/>
      <c r="BI20" s="16"/>
    </row>
    <row r="21" spans="1:61" s="4" customFormat="1" x14ac:dyDescent="0.2">
      <c r="A21" s="11">
        <v>13</v>
      </c>
      <c r="B21" s="11">
        <f>IF(Open[[#This Row],[PR Rang beim letzten Turnier]]&gt;Open[[#This Row],[PR Rang]],1,IF(Open[[#This Row],[PR Rang beim letzten Turnier]]=Open[[#This Row],[PR Rang]],0,-1))</f>
        <v>-1</v>
      </c>
      <c r="C21" s="147">
        <f>RANK(Open[[#This Row],[PR Punkte]],Open[PR Punkte],0)</f>
        <v>15</v>
      </c>
      <c r="D21" s="222" t="s">
        <v>132</v>
      </c>
      <c r="E21" s="11" t="s">
        <v>16</v>
      </c>
      <c r="F21" s="109">
        <f>SUM(Open[[#This Row],[PR 1]:[PR 3]])</f>
        <v>1961.3</v>
      </c>
      <c r="G21" s="109">
        <f>LARGE(Open[[#This Row],[TS SH O 22.02.22]:[PR3]],1)</f>
        <v>1278</v>
      </c>
      <c r="H21" s="109">
        <f>LARGE(Open[[#This Row],[TS SH O 22.02.22]:[PR3]],2)</f>
        <v>475.3</v>
      </c>
      <c r="I21" s="109">
        <f>LARGE(Open[[#This Row],[TS SH O 22.02.22]:[PR3]],3)</f>
        <v>208</v>
      </c>
      <c r="J21" s="11">
        <f>RANK(K21,$K$7:$K$361,0)</f>
        <v>17</v>
      </c>
      <c r="K21" s="109">
        <f>SUM(L21:W21)</f>
        <v>2209.9</v>
      </c>
      <c r="L21" s="109">
        <f>IFERROR(VLOOKUP(Open[[#This Row],[TS SH 22.02.22 Rang]],$AJ$16:$AK$111,2,0)*L$5," ")</f>
        <v>475.3</v>
      </c>
      <c r="M21" s="109">
        <f>IFERROR(VLOOKUP(Open[[#This Row],[TS SH O 23.04.22 Rang]],$AJ$16:$AK$111,2,0)*M$5," ")</f>
        <v>46.2</v>
      </c>
      <c r="N21" s="109">
        <f>IFERROR(VLOOKUP(Open[[#This Row],[TS LA O 08.05.22 Rang]],$AJ$16:$AK$111,2,0)*N$5," ")</f>
        <v>158</v>
      </c>
      <c r="O21" s="109" t="str">
        <f>IFERROR(VLOOKUP(Open[[#This Row],[TS SG O 25.05.22 Rang]],$AJ$16:$AK$111,2,0)*O$5," ")</f>
        <v xml:space="preserve"> </v>
      </c>
      <c r="P21" s="109">
        <f>IFERROR(VLOOKUP(Open[[#This Row],[TS SH O 25.06.22 Rang]],$AJ$16:$AK$111,2,0)*P$5," ")</f>
        <v>44.4</v>
      </c>
      <c r="Q21" s="109">
        <f>IFERROR(VLOOKUP(Open[[#This Row],[TS ZH O/A 25.06.22 Rang]],$AJ$16:$AK$111,2,0)*Q$5," ")</f>
        <v>1278</v>
      </c>
      <c r="R21" s="109" t="str">
        <f>IFERROR(VLOOKUP(Open[[#This Row],[TS ZH O/B 25.06.22 Rang]],$AJ$16:$AK$111,2,0)*R$5," ")</f>
        <v xml:space="preserve"> </v>
      </c>
      <c r="S21" s="109">
        <f>IFERROR(VLOOKUP(Open[[#This Row],[SM BE O/A 09.07.22 Rang]],$AJ$16:$AK$111,2,0)*S$5," ")</f>
        <v>208</v>
      </c>
      <c r="T21" s="109" t="str">
        <f>IFERROR(VLOOKUP(Open[[#This Row],[SM BE O/B 09.07.22 Rang]],$AJ$16:$AK$111,2,0)*T$5," ")</f>
        <v xml:space="preserve"> </v>
      </c>
      <c r="U21" s="11">
        <v>0</v>
      </c>
      <c r="V21" s="11">
        <v>0</v>
      </c>
      <c r="W21" s="11">
        <v>0</v>
      </c>
      <c r="X21" s="129">
        <v>6</v>
      </c>
      <c r="Y21" s="191">
        <v>17</v>
      </c>
      <c r="Z21" s="191">
        <v>12</v>
      </c>
      <c r="AA21" s="191"/>
      <c r="AB21" s="191">
        <v>17</v>
      </c>
      <c r="AC21" s="191">
        <v>2</v>
      </c>
      <c r="AD21" s="191"/>
      <c r="AE21" s="201">
        <v>12</v>
      </c>
      <c r="AF21" s="191"/>
      <c r="AG21" s="17"/>
      <c r="AH21" s="17"/>
      <c r="AI21" s="17"/>
      <c r="AJ21" s="155">
        <v>5</v>
      </c>
      <c r="AK21" s="155">
        <v>290</v>
      </c>
      <c r="AL21" s="17"/>
      <c r="AM21" s="157" t="s">
        <v>402</v>
      </c>
      <c r="AN21" s="157"/>
      <c r="AO21" s="157"/>
      <c r="AP21" s="157"/>
      <c r="AQ21" s="168"/>
      <c r="AR21" s="169"/>
      <c r="AS21" s="46"/>
      <c r="AT21" s="16"/>
      <c r="AV21" s="46"/>
      <c r="AW21"/>
      <c r="AX21" s="16"/>
      <c r="AY21"/>
      <c r="AZ21" s="46"/>
      <c r="BA21" s="16"/>
      <c r="BD21" s="16"/>
      <c r="BE21" s="16"/>
      <c r="BF21" s="16"/>
      <c r="BG21" s="16"/>
      <c r="BH21" s="16"/>
      <c r="BI21" s="16"/>
    </row>
    <row r="22" spans="1:61" s="4" customFormat="1" x14ac:dyDescent="0.2">
      <c r="A22" s="17">
        <v>16</v>
      </c>
      <c r="B22" s="17">
        <f>IF(Open[[#This Row],[PR Rang beim letzten Turnier]]&gt;Open[[#This Row],[PR Rang]],1,IF(Open[[#This Row],[PR Rang beim letzten Turnier]]=Open[[#This Row],[PR Rang]],0,-1))</f>
        <v>0</v>
      </c>
      <c r="C22" s="112">
        <f>RANK(Open[[#This Row],[PR Punkte]],Open[PR Punkte],0)</f>
        <v>16</v>
      </c>
      <c r="D22" s="17" t="s">
        <v>25</v>
      </c>
      <c r="E22" s="11" t="s">
        <v>7</v>
      </c>
      <c r="F22" s="109">
        <f>SUM(Open[[#This Row],[PR 1]:[PR 3]])</f>
        <v>1822.4</v>
      </c>
      <c r="G22" s="109">
        <f>LARGE(Open[[#This Row],[TS SH O 22.02.22]:[PR3]],1)</f>
        <v>790</v>
      </c>
      <c r="H22" s="109">
        <f>LARGE(Open[[#This Row],[TS SH O 22.02.22]:[PR3]],2)</f>
        <v>603.20000000000005</v>
      </c>
      <c r="I22" s="109">
        <f>LARGE(Open[[#This Row],[TS SH O 22.02.22]:[PR3]],3)</f>
        <v>429.2</v>
      </c>
      <c r="J22" s="11">
        <f>RANK(K22,$K$7:$K$295,0)</f>
        <v>14</v>
      </c>
      <c r="K22" s="109">
        <f>SUM(L22:W22)</f>
        <v>2463.8000000000002</v>
      </c>
      <c r="L22" s="109">
        <f>IFERROR(VLOOKUP(Open[[#This Row],[TS SH 22.02.22 Rang]],$AJ$16:$AK$111,2,0)*L$5," ")</f>
        <v>58.199999999999996</v>
      </c>
      <c r="M22" s="109">
        <f>IFERROR(VLOOKUP(Open[[#This Row],[TS SH O 23.04.22 Rang]],$AJ$16:$AK$111,2,0)*M$5," ")</f>
        <v>154</v>
      </c>
      <c r="N22" s="109">
        <f>IFERROR(VLOOKUP(Open[[#This Row],[TS LA O 08.05.22 Rang]],$AJ$16:$AK$111,2,0)*N$5," ")</f>
        <v>790</v>
      </c>
      <c r="O22" s="109">
        <f>IFERROR(VLOOKUP(Open[[#This Row],[TS SG O 25.05.22 Rang]],$AJ$16:$AK$111,2,0)*O$5," ")</f>
        <v>429.2</v>
      </c>
      <c r="P22" s="109">
        <f>IFERROR(VLOOKUP(Open[[#This Row],[TS SH O 25.06.22 Rang]],$AJ$16:$AK$111,2,0)*P$5," ")</f>
        <v>429.2</v>
      </c>
      <c r="Q22" s="109" t="str">
        <f>IFERROR(VLOOKUP(Open[[#This Row],[TS ZH O/A 25.06.22 Rang]],$AJ$16:$AK$111,2,0)*Q$5," ")</f>
        <v xml:space="preserve"> </v>
      </c>
      <c r="R22" s="109" t="str">
        <f>IFERROR(VLOOKUP(Open[[#This Row],[TS ZH O/B 25.06.22 Rang]],$AJ$16:$AK$111,2,0)*R$5," ")</f>
        <v xml:space="preserve"> </v>
      </c>
      <c r="S22" s="109">
        <f>IFERROR(VLOOKUP(Open[[#This Row],[SM BE O/A 09.07.22 Rang]],$AJ$16:$AK$111,2,0)*S$5," ")</f>
        <v>603.20000000000005</v>
      </c>
      <c r="T22" s="109" t="str">
        <f>IFERROR(VLOOKUP(Open[[#This Row],[SM BE O/B 09.07.22 Rang]],$AJ$16:$AK$111,2,0)*T$5," ")</f>
        <v xml:space="preserve"> </v>
      </c>
      <c r="U22" s="11">
        <v>0</v>
      </c>
      <c r="V22" s="11">
        <v>0</v>
      </c>
      <c r="W22" s="11">
        <v>0</v>
      </c>
      <c r="X22" s="122">
        <v>20</v>
      </c>
      <c r="Y22" s="201">
        <v>11</v>
      </c>
      <c r="Z22" s="202">
        <v>4</v>
      </c>
      <c r="AA22" s="202">
        <v>5</v>
      </c>
      <c r="AB22" s="200">
        <v>5</v>
      </c>
      <c r="AC22" s="191"/>
      <c r="AD22" s="191"/>
      <c r="AE22" s="200">
        <v>5</v>
      </c>
      <c r="AF22" s="191"/>
      <c r="AG22" s="17"/>
      <c r="AH22" s="17"/>
      <c r="AI22" s="17"/>
      <c r="AJ22" s="155">
        <v>6</v>
      </c>
      <c r="AK22" s="155">
        <v>245</v>
      </c>
      <c r="AL22" s="17"/>
      <c r="AM22" s="17"/>
      <c r="AN22" s="17"/>
      <c r="AO22" s="17"/>
      <c r="AP22" s="17"/>
      <c r="AQ22" s="162"/>
      <c r="AR22" s="162"/>
      <c r="AS22" s="39"/>
      <c r="AT22" s="16"/>
      <c r="AU22" s="45"/>
      <c r="AV22" s="46"/>
      <c r="AW22"/>
      <c r="AX22" s="16"/>
      <c r="AY22"/>
      <c r="AZ22" s="46"/>
      <c r="BA22" s="16"/>
      <c r="BD22" s="16"/>
      <c r="BE22" s="16"/>
      <c r="BF22" s="16"/>
      <c r="BG22" s="16"/>
      <c r="BH22" s="16"/>
      <c r="BI22" s="16"/>
    </row>
    <row r="23" spans="1:61" s="4" customFormat="1" x14ac:dyDescent="0.2">
      <c r="A23" s="17">
        <v>16</v>
      </c>
      <c r="B23" s="17">
        <f>IF(Open[[#This Row],[PR Rang beim letzten Turnier]]&gt;Open[[#This Row],[PR Rang]],1,IF(Open[[#This Row],[PR Rang beim letzten Turnier]]=Open[[#This Row],[PR Rang]],0,-1))</f>
        <v>0</v>
      </c>
      <c r="C23" s="112">
        <f>RANK(Open[[#This Row],[PR Punkte]],Open[PR Punkte],0)</f>
        <v>16</v>
      </c>
      <c r="D23" s="27" t="s">
        <v>189</v>
      </c>
      <c r="E23" s="13" t="s">
        <v>7</v>
      </c>
      <c r="F23" s="109">
        <f>SUM(Open[[#This Row],[PR 1]:[PR 3]])</f>
        <v>1822.4</v>
      </c>
      <c r="G23" s="109">
        <f>LARGE(Open[[#This Row],[TS SH O 22.02.22]:[PR3]],1)</f>
        <v>790</v>
      </c>
      <c r="H23" s="109">
        <f>LARGE(Open[[#This Row],[TS SH O 22.02.22]:[PR3]],2)</f>
        <v>603.20000000000005</v>
      </c>
      <c r="I23" s="109">
        <f>LARGE(Open[[#This Row],[TS SH O 22.02.22]:[PR3]],3)</f>
        <v>429.2</v>
      </c>
      <c r="J23" s="13">
        <f>RANK(K23,$K$7:$K$295,0)</f>
        <v>13</v>
      </c>
      <c r="K23" s="109">
        <f>SUM(L23:W23)</f>
        <v>2552.3000000000002</v>
      </c>
      <c r="L23" s="109">
        <f>IFERROR(VLOOKUP(Open[[#This Row],[TS SH 22.02.22 Rang]],$AJ$16:$AK$111,2,0)*L$5," ")</f>
        <v>300.7</v>
      </c>
      <c r="M23" s="109" t="str">
        <f>IFERROR(VLOOKUP(Open[[#This Row],[TS SH O 23.04.22 Rang]],$AJ$16:$AK$111,2,0)*M$5," ")</f>
        <v xml:space="preserve"> </v>
      </c>
      <c r="N23" s="109">
        <f>IFERROR(VLOOKUP(Open[[#This Row],[TS LA O 08.05.22 Rang]],$AJ$16:$AK$111,2,0)*N$5," ")</f>
        <v>790</v>
      </c>
      <c r="O23" s="109">
        <f>IFERROR(VLOOKUP(Open[[#This Row],[TS SG O 25.05.22 Rang]],$AJ$16:$AK$111,2,0)*O$5," ")</f>
        <v>429.2</v>
      </c>
      <c r="P23" s="109">
        <f>IFERROR(VLOOKUP(Open[[#This Row],[TS SH O 25.06.22 Rang]],$AJ$16:$AK$111,2,0)*P$5," ")</f>
        <v>429.2</v>
      </c>
      <c r="Q23" s="109" t="str">
        <f>IFERROR(VLOOKUP(Open[[#This Row],[TS ZH O/A 25.06.22 Rang]],$AJ$16:$AK$111,2,0)*Q$5," ")</f>
        <v xml:space="preserve"> </v>
      </c>
      <c r="R23" s="109" t="str">
        <f>IFERROR(VLOOKUP(Open[[#This Row],[TS ZH O/B 25.06.22 Rang]],$AJ$16:$AK$111,2,0)*R$5," ")</f>
        <v xml:space="preserve"> </v>
      </c>
      <c r="S23" s="109">
        <f>IFERROR(VLOOKUP(Open[[#This Row],[SM BE O/A 09.07.22 Rang]],$AJ$16:$AK$111,2,0)*S$5," ")</f>
        <v>603.20000000000005</v>
      </c>
      <c r="T23" s="109" t="str">
        <f>IFERROR(VLOOKUP(Open[[#This Row],[SM BE O/B 09.07.22 Rang]],$AJ$16:$AK$111,2,0)*T$5," ")</f>
        <v xml:space="preserve"> </v>
      </c>
      <c r="U23" s="11">
        <v>0</v>
      </c>
      <c r="V23" s="11">
        <v>0</v>
      </c>
      <c r="W23" s="11">
        <v>0</v>
      </c>
      <c r="X23" s="62">
        <v>8</v>
      </c>
      <c r="Y23" s="191"/>
      <c r="Z23" s="203">
        <v>4</v>
      </c>
      <c r="AA23" s="203">
        <v>5</v>
      </c>
      <c r="AB23" s="202">
        <v>5</v>
      </c>
      <c r="AC23" s="191"/>
      <c r="AD23" s="191"/>
      <c r="AE23" s="203">
        <v>5</v>
      </c>
      <c r="AF23" s="191"/>
      <c r="AG23" s="17"/>
      <c r="AH23" s="17"/>
      <c r="AI23" s="17"/>
      <c r="AJ23" s="155">
        <v>7</v>
      </c>
      <c r="AK23" s="155">
        <v>200</v>
      </c>
      <c r="AL23" s="17"/>
      <c r="AM23" s="17"/>
      <c r="AN23" s="17"/>
      <c r="AO23" s="17"/>
      <c r="AP23" s="17"/>
      <c r="AQ23" s="162"/>
      <c r="AR23" s="17"/>
      <c r="AS23" s="39"/>
      <c r="AT23" s="16"/>
      <c r="AU23" s="45"/>
      <c r="AV23" s="43"/>
      <c r="AW23"/>
      <c r="AX23" s="16"/>
      <c r="AY23"/>
      <c r="AZ23" s="46"/>
      <c r="BA23" s="16"/>
      <c r="BD23" s="16"/>
      <c r="BE23" s="16"/>
      <c r="BF23" s="16"/>
      <c r="BG23" s="16"/>
      <c r="BH23" s="16"/>
      <c r="BI23" s="16"/>
    </row>
    <row r="24" spans="1:61" s="4" customFormat="1" x14ac:dyDescent="0.2">
      <c r="A24" s="17">
        <v>14</v>
      </c>
      <c r="B24" s="17">
        <f>IF(Open[[#This Row],[PR Rang beim letzten Turnier]]&gt;Open[[#This Row],[PR Rang]],1,IF(Open[[#This Row],[PR Rang beim letzten Turnier]]=Open[[#This Row],[PR Rang]],0,-1))</f>
        <v>-1</v>
      </c>
      <c r="C24" s="112">
        <f>RANK(Open[[#This Row],[PR Punkte]],Open[PR Punkte],0)</f>
        <v>18</v>
      </c>
      <c r="D24" s="43" t="s">
        <v>566</v>
      </c>
      <c r="E24" s="11" t="s">
        <v>18</v>
      </c>
      <c r="F24" s="109">
        <f>SUM(Open[[#This Row],[PR 1]:[PR 3]])</f>
        <v>1746</v>
      </c>
      <c r="G24" s="109">
        <f>LARGE(Open[[#This Row],[TS SH O 22.02.22]:[PR3]],1)</f>
        <v>1746</v>
      </c>
      <c r="H24" s="109">
        <f>LARGE(Open[[#This Row],[TS SH O 22.02.22]:[PR3]],2)</f>
        <v>0</v>
      </c>
      <c r="I24" s="109">
        <f>LARGE(Open[[#This Row],[TS SH O 22.02.22]:[PR3]],3)</f>
        <v>0</v>
      </c>
      <c r="J24" s="11">
        <f>RANK(K24,$K$7:$K$295,0)</f>
        <v>20</v>
      </c>
      <c r="K24" s="109">
        <f>SUM(L24:W24)</f>
        <v>1746</v>
      </c>
      <c r="L24" s="109">
        <f>IFERROR(VLOOKUP(Open[[#This Row],[TS SH 22.02.22 Rang]],$AJ$16:$AK$111,2,0)*L$5," ")</f>
        <v>1746</v>
      </c>
      <c r="M24" s="109" t="str">
        <f>IFERROR(VLOOKUP(Open[[#This Row],[TS SH O 23.04.22 Rang]],$AJ$16:$AK$111,2,0)*M$5," ")</f>
        <v xml:space="preserve"> </v>
      </c>
      <c r="N24" s="109" t="str">
        <f>IFERROR(VLOOKUP(Open[[#This Row],[TS LA O 08.05.22 Rang]],$AJ$16:$AK$111,2,0)*N$5," ")</f>
        <v xml:space="preserve"> </v>
      </c>
      <c r="O24" s="109" t="str">
        <f>IFERROR(VLOOKUP(Open[[#This Row],[TS SG O 25.05.22 Rang]],$AJ$16:$AK$111,2,0)*O$5," ")</f>
        <v xml:space="preserve"> </v>
      </c>
      <c r="P24" s="109" t="str">
        <f>IFERROR(VLOOKUP(Open[[#This Row],[TS SH O 25.06.22 Rang]],$AJ$16:$AK$111,2,0)*P$5," ")</f>
        <v xml:space="preserve"> </v>
      </c>
      <c r="Q24" s="109" t="str">
        <f>IFERROR(VLOOKUP(Open[[#This Row],[TS ZH O/A 25.06.22 Rang]],$AJ$16:$AK$111,2,0)*Q$5," ")</f>
        <v xml:space="preserve"> </v>
      </c>
      <c r="R24" s="109" t="str">
        <f>IFERROR(VLOOKUP(Open[[#This Row],[TS ZH O/B 25.06.22 Rang]],$AJ$16:$AK$111,2,0)*R$5," ")</f>
        <v xml:space="preserve"> </v>
      </c>
      <c r="S24" s="109" t="str">
        <f>IFERROR(VLOOKUP(Open[[#This Row],[SM BE O/A 09.07.22 Rang]],$AJ$16:$AK$111,2,0)*S$5," ")</f>
        <v xml:space="preserve"> </v>
      </c>
      <c r="T24" s="109" t="str">
        <f>IFERROR(VLOOKUP(Open[[#This Row],[SM BE O/B 09.07.22 Rang]],$AJ$16:$AK$111,2,0)*T$5," ")</f>
        <v xml:space="preserve"> </v>
      </c>
      <c r="U24" s="11">
        <v>0</v>
      </c>
      <c r="V24" s="11">
        <v>0</v>
      </c>
      <c r="W24" s="11">
        <v>0</v>
      </c>
      <c r="X24" s="121">
        <v>2</v>
      </c>
      <c r="Y24" s="191"/>
      <c r="Z24" s="191"/>
      <c r="AA24" s="191"/>
      <c r="AB24" s="191"/>
      <c r="AC24" s="191"/>
      <c r="AD24" s="191"/>
      <c r="AE24" s="191"/>
      <c r="AF24" s="191"/>
      <c r="AG24" s="17"/>
      <c r="AH24" s="17"/>
      <c r="AI24" s="17"/>
      <c r="AJ24" s="155">
        <v>8</v>
      </c>
      <c r="AK24" s="155">
        <v>155</v>
      </c>
      <c r="AL24" s="17"/>
      <c r="AM24" s="17"/>
      <c r="AN24" s="17"/>
      <c r="AO24" s="17"/>
      <c r="AP24" s="17"/>
      <c r="AQ24" s="162"/>
      <c r="AR24" s="17"/>
      <c r="AS24" s="39"/>
      <c r="AT24" s="16"/>
      <c r="AU24" s="45"/>
      <c r="AV24" s="43"/>
      <c r="AW24"/>
      <c r="AX24" s="16"/>
      <c r="AY24"/>
      <c r="AZ24" s="46"/>
      <c r="BA24" s="16"/>
      <c r="BD24" s="16"/>
      <c r="BE24" s="16"/>
      <c r="BF24" s="16"/>
      <c r="BG24" s="16"/>
      <c r="BH24" s="16"/>
      <c r="BI24" s="16"/>
    </row>
    <row r="25" spans="1:61" s="4" customFormat="1" x14ac:dyDescent="0.2">
      <c r="A25" s="17">
        <v>14</v>
      </c>
      <c r="B25" s="17">
        <f>IF(Open[[#This Row],[PR Rang beim letzten Turnier]]&gt;Open[[#This Row],[PR Rang]],1,IF(Open[[#This Row],[PR Rang beim letzten Turnier]]=Open[[#This Row],[PR Rang]],0,-1))</f>
        <v>-1</v>
      </c>
      <c r="C25" s="112">
        <f>RANK(Open[[#This Row],[PR Punkte]],Open[PR Punkte],0)</f>
        <v>18</v>
      </c>
      <c r="D25" s="27" t="s">
        <v>415</v>
      </c>
      <c r="E25" s="9" t="s">
        <v>18</v>
      </c>
      <c r="F25" s="109">
        <f>SUM(Open[[#This Row],[PR 1]:[PR 3]])</f>
        <v>1746</v>
      </c>
      <c r="G25" s="109">
        <f>LARGE(Open[[#This Row],[TS SH O 22.02.22]:[PR3]],1)</f>
        <v>1746</v>
      </c>
      <c r="H25" s="109">
        <f>LARGE(Open[[#This Row],[TS SH O 22.02.22]:[PR3]],2)</f>
        <v>0</v>
      </c>
      <c r="I25" s="109">
        <f>LARGE(Open[[#This Row],[TS SH O 22.02.22]:[PR3]],3)</f>
        <v>0</v>
      </c>
      <c r="J25" s="9">
        <f>RANK(K25,$K$7:$K$295,0)</f>
        <v>20</v>
      </c>
      <c r="K25" s="109">
        <f>SUM(L25:W25)</f>
        <v>1746</v>
      </c>
      <c r="L25" s="109">
        <f>IFERROR(VLOOKUP(Open[[#This Row],[TS SH 22.02.22 Rang]],$AJ$16:$AK$111,2,0)*L$5," ")</f>
        <v>1746</v>
      </c>
      <c r="M25" s="109" t="str">
        <f>IFERROR(VLOOKUP(Open[[#This Row],[TS SH O 23.04.22 Rang]],$AJ$16:$AK$111,2,0)*M$5," ")</f>
        <v xml:space="preserve"> </v>
      </c>
      <c r="N25" s="109" t="str">
        <f>IFERROR(VLOOKUP(Open[[#This Row],[TS LA O 08.05.22 Rang]],$AJ$16:$AK$111,2,0)*N$5," ")</f>
        <v xml:space="preserve"> </v>
      </c>
      <c r="O25" s="109" t="str">
        <f>IFERROR(VLOOKUP(Open[[#This Row],[TS SG O 25.05.22 Rang]],$AJ$16:$AK$111,2,0)*O$5," ")</f>
        <v xml:space="preserve"> </v>
      </c>
      <c r="P25" s="109" t="str">
        <f>IFERROR(VLOOKUP(Open[[#This Row],[TS SH O 25.06.22 Rang]],$AJ$16:$AK$111,2,0)*P$5," ")</f>
        <v xml:space="preserve"> </v>
      </c>
      <c r="Q25" s="109" t="str">
        <f>IFERROR(VLOOKUP(Open[[#This Row],[TS ZH O/A 25.06.22 Rang]],$AJ$16:$AK$111,2,0)*Q$5," ")</f>
        <v xml:space="preserve"> </v>
      </c>
      <c r="R25" s="109" t="str">
        <f>IFERROR(VLOOKUP(Open[[#This Row],[TS ZH O/B 25.06.22 Rang]],$AJ$16:$AK$111,2,0)*R$5," ")</f>
        <v xml:space="preserve"> </v>
      </c>
      <c r="S25" s="109" t="str">
        <f>IFERROR(VLOOKUP(Open[[#This Row],[SM BE O/A 09.07.22 Rang]],$AJ$16:$AK$111,2,0)*S$5," ")</f>
        <v xml:space="preserve"> </v>
      </c>
      <c r="T25" s="109" t="str">
        <f>IFERROR(VLOOKUP(Open[[#This Row],[SM BE O/B 09.07.22 Rang]],$AJ$16:$AK$111,2,0)*T$5," ")</f>
        <v xml:space="preserve"> </v>
      </c>
      <c r="U25" s="11">
        <v>0</v>
      </c>
      <c r="V25" s="11">
        <v>0</v>
      </c>
      <c r="W25" s="11">
        <v>0</v>
      </c>
      <c r="X25" s="121">
        <v>2</v>
      </c>
      <c r="Y25" s="191"/>
      <c r="Z25" s="191"/>
      <c r="AA25" s="191"/>
      <c r="AB25" s="191"/>
      <c r="AC25" s="191"/>
      <c r="AD25" s="191"/>
      <c r="AE25" s="191"/>
      <c r="AF25" s="191"/>
      <c r="AH25" s="17"/>
      <c r="AI25" s="17"/>
      <c r="AJ25" s="155">
        <v>9</v>
      </c>
      <c r="AK25" s="155">
        <v>100</v>
      </c>
      <c r="AL25" s="17"/>
      <c r="AM25" s="17"/>
      <c r="AN25" s="17"/>
      <c r="AO25" s="17"/>
      <c r="AP25" s="17"/>
      <c r="AQ25" s="17"/>
      <c r="AR25" s="17"/>
      <c r="AS25" s="16"/>
      <c r="AT25" s="16"/>
      <c r="AU25" s="16"/>
      <c r="AV25" s="16"/>
      <c r="AW25"/>
      <c r="AX25" s="16"/>
      <c r="AY25"/>
      <c r="AZ25" s="16"/>
      <c r="BA25" s="16"/>
      <c r="BD25" s="16"/>
      <c r="BE25" s="16"/>
      <c r="BF25" s="16"/>
      <c r="BG25" s="16"/>
      <c r="BH25" s="16"/>
      <c r="BI25" s="16"/>
    </row>
    <row r="26" spans="1:61" s="4" customFormat="1" x14ac:dyDescent="0.2">
      <c r="A26" s="17">
        <v>19</v>
      </c>
      <c r="B26" s="17">
        <f>IF(Open[[#This Row],[PR Rang beim letzten Turnier]]&gt;Open[[#This Row],[PR Rang]],1,IF(Open[[#This Row],[PR Rang beim letzten Turnier]]=Open[[#This Row],[PR Rang]],0,-1))</f>
        <v>-1</v>
      </c>
      <c r="C26" s="112">
        <f>RANK(Open[[#This Row],[PR Punkte]],Open[PR Punkte],0)</f>
        <v>20</v>
      </c>
      <c r="D26" s="160" t="s">
        <v>53</v>
      </c>
      <c r="E26" s="9" t="s">
        <v>10</v>
      </c>
      <c r="F26" s="109">
        <f>SUM(Open[[#This Row],[PR 1]:[PR 3]])</f>
        <v>1529.3</v>
      </c>
      <c r="G26" s="109">
        <f>LARGE(Open[[#This Row],[TS SH O 22.02.22]:[PR3]],1)</f>
        <v>994</v>
      </c>
      <c r="H26" s="109">
        <f>LARGE(Open[[#This Row],[TS SH O 22.02.22]:[PR3]],2)</f>
        <v>377.3</v>
      </c>
      <c r="I26" s="109">
        <f>LARGE(Open[[#This Row],[TS SH O 22.02.22]:[PR3]],3)</f>
        <v>158</v>
      </c>
      <c r="J26" s="9">
        <f>RANK(K26,$K$7:$K$295,0)</f>
        <v>22</v>
      </c>
      <c r="K26" s="109">
        <f>SUM(L26:W26)</f>
        <v>1673.5</v>
      </c>
      <c r="L26" s="109">
        <f>IFERROR(VLOOKUP(Open[[#This Row],[TS SH 22.02.22 Rang]],$AJ$16:$AK$111,2,0)*L$5," ")</f>
        <v>58.199999999999996</v>
      </c>
      <c r="M26" s="109">
        <f>IFERROR(VLOOKUP(Open[[#This Row],[TS SH O 23.04.22 Rang]],$AJ$16:$AK$111,2,0)*M$5," ")</f>
        <v>377.3</v>
      </c>
      <c r="N26" s="109">
        <f>IFERROR(VLOOKUP(Open[[#This Row],[TS LA O 08.05.22 Rang]],$AJ$16:$AK$111,2,0)*N$5," ")</f>
        <v>158</v>
      </c>
      <c r="O26" s="109" t="str">
        <f>IFERROR(VLOOKUP(Open[[#This Row],[TS SG O 25.05.22 Rang]],$AJ$16:$AK$111,2,0)*O$5," ")</f>
        <v xml:space="preserve"> </v>
      </c>
      <c r="P26" s="109">
        <f>IFERROR(VLOOKUP(Open[[#This Row],[TS SH O 25.06.22 Rang]],$AJ$16:$AK$111,2,0)*P$5," ")</f>
        <v>44.4</v>
      </c>
      <c r="Q26" s="109">
        <f>IFERROR(VLOOKUP(Open[[#This Row],[TS ZH O/A 25.06.22 Rang]],$AJ$16:$AK$111,2,0)*Q$5," ")</f>
        <v>994</v>
      </c>
      <c r="R26" s="109" t="str">
        <f>IFERROR(VLOOKUP(Open[[#This Row],[TS ZH O/B 25.06.22 Rang]],$AJ$16:$AK$111,2,0)*R$5," ")</f>
        <v xml:space="preserve"> </v>
      </c>
      <c r="S26" s="109">
        <f>IFERROR(VLOOKUP(Open[[#This Row],[SM BE O/A 09.07.22 Rang]],$AJ$16:$AK$111,2,0)*S$5," ")</f>
        <v>41.6</v>
      </c>
      <c r="T26" s="109" t="str">
        <f>IFERROR(VLOOKUP(Open[[#This Row],[SM BE O/B 09.07.22 Rang]],$AJ$16:$AK$111,2,0)*T$5," ")</f>
        <v xml:space="preserve"> </v>
      </c>
      <c r="U26" s="11">
        <v>0</v>
      </c>
      <c r="V26" s="11">
        <v>0</v>
      </c>
      <c r="W26" s="11">
        <v>0</v>
      </c>
      <c r="X26" s="122">
        <v>21</v>
      </c>
      <c r="Y26" s="203">
        <v>6</v>
      </c>
      <c r="Z26" s="201">
        <v>16</v>
      </c>
      <c r="AA26" s="191"/>
      <c r="AB26" s="191">
        <v>19</v>
      </c>
      <c r="AC26" s="191">
        <v>3</v>
      </c>
      <c r="AD26" s="191"/>
      <c r="AE26" s="201">
        <v>34</v>
      </c>
      <c r="AF26" s="191"/>
      <c r="AH26" s="17"/>
      <c r="AI26" s="17"/>
      <c r="AJ26" s="155">
        <v>10</v>
      </c>
      <c r="AK26" s="155">
        <v>100</v>
      </c>
      <c r="AL26" s="17"/>
      <c r="AM26" s="17"/>
      <c r="AN26" s="17"/>
      <c r="AO26" s="17"/>
      <c r="AP26" s="17"/>
      <c r="AQ26" s="17"/>
      <c r="AR26" s="17"/>
      <c r="AS26" s="16"/>
      <c r="AT26" s="16"/>
      <c r="AU26" s="16"/>
      <c r="AV26" s="16"/>
      <c r="AW26"/>
      <c r="AX26" s="16"/>
      <c r="AY26"/>
      <c r="AZ26" s="16"/>
      <c r="BA26" s="16"/>
      <c r="BD26" s="16"/>
      <c r="BE26" s="16"/>
      <c r="BF26" s="16"/>
      <c r="BG26" s="16"/>
      <c r="BH26" s="16"/>
      <c r="BI26" s="16"/>
    </row>
    <row r="27" spans="1:61" s="4" customFormat="1" x14ac:dyDescent="0.2">
      <c r="A27" s="17">
        <v>20</v>
      </c>
      <c r="B27" s="17">
        <f>IF(Open[[#This Row],[PR Rang beim letzten Turnier]]&gt;Open[[#This Row],[PR Rang]],1,IF(Open[[#This Row],[PR Rang beim letzten Turnier]]=Open[[#This Row],[PR Rang]],0,-1))</f>
        <v>-1</v>
      </c>
      <c r="C27" s="112">
        <f>RANK(Open[[#This Row],[PR Punkte]],Open[PR Punkte],0)</f>
        <v>21</v>
      </c>
      <c r="D27" s="17" t="s">
        <v>143</v>
      </c>
      <c r="E27" s="9" t="s">
        <v>17</v>
      </c>
      <c r="F27" s="109">
        <f>SUM(Open[[#This Row],[PR 1]:[PR 3]])</f>
        <v>1528.9</v>
      </c>
      <c r="G27" s="109">
        <f>LARGE(Open[[#This Row],[TS SH O 22.02.22]:[PR3]],1)</f>
        <v>770</v>
      </c>
      <c r="H27" s="109">
        <f>LARGE(Open[[#This Row],[TS SH O 22.02.22]:[PR3]],2)</f>
        <v>458.20000000000005</v>
      </c>
      <c r="I27" s="109">
        <f>LARGE(Open[[#This Row],[TS SH O 22.02.22]:[PR3]],3)</f>
        <v>300.7</v>
      </c>
      <c r="J27" s="9">
        <f>RANK(K27,$K$7:$K$295,0)</f>
        <v>19</v>
      </c>
      <c r="K27" s="109">
        <f>SUM(L27:W27)</f>
        <v>1878.9</v>
      </c>
      <c r="L27" s="109">
        <f>IFERROR(VLOOKUP(Open[[#This Row],[TS SH 22.02.22 Rang]],$AJ$16:$AK$111,2,0)*L$5," ")</f>
        <v>300.7</v>
      </c>
      <c r="M27" s="109">
        <f>IFERROR(VLOOKUP(Open[[#This Row],[TS SH O 23.04.22 Rang]],$AJ$16:$AK$111,2,0)*M$5," ")</f>
        <v>770</v>
      </c>
      <c r="N27" s="109">
        <f>IFERROR(VLOOKUP(Open[[#This Row],[TS LA O 08.05.22 Rang]],$AJ$16:$AK$111,2,0)*N$5," ")</f>
        <v>458.20000000000005</v>
      </c>
      <c r="O27" s="109" t="str">
        <f>IFERROR(VLOOKUP(Open[[#This Row],[TS SG O 25.05.22 Rang]],$AJ$16:$AK$111,2,0)*O$5," ")</f>
        <v xml:space="preserve"> </v>
      </c>
      <c r="P27" s="109" t="str">
        <f>IFERROR(VLOOKUP(Open[[#This Row],[TS SH O 25.06.22 Rang]],$AJ$16:$AK$111,2,0)*P$5," ")</f>
        <v xml:space="preserve"> </v>
      </c>
      <c r="Q27" s="109">
        <f>IFERROR(VLOOKUP(Open[[#This Row],[TS ZH O/A 25.06.22 Rang]],$AJ$16:$AK$111,2,0)*Q$5," ")</f>
        <v>142</v>
      </c>
      <c r="R27" s="109" t="str">
        <f>IFERROR(VLOOKUP(Open[[#This Row],[TS ZH O/B 25.06.22 Rang]],$AJ$16:$AK$111,2,0)*R$5," ")</f>
        <v xml:space="preserve"> </v>
      </c>
      <c r="S27" s="109">
        <f>IFERROR(VLOOKUP(Open[[#This Row],[SM BE O/A 09.07.22 Rang]],$AJ$16:$AK$111,2,0)*S$5," ")</f>
        <v>208</v>
      </c>
      <c r="T27" s="109" t="str">
        <f>IFERROR(VLOOKUP(Open[[#This Row],[SM BE O/B 09.07.22 Rang]],$AJ$16:$AK$111,2,0)*T$5," ")</f>
        <v xml:space="preserve"> </v>
      </c>
      <c r="U27" s="11">
        <v>0</v>
      </c>
      <c r="V27" s="11">
        <v>0</v>
      </c>
      <c r="W27" s="11">
        <v>0</v>
      </c>
      <c r="X27" s="61">
        <v>8</v>
      </c>
      <c r="Y27" s="202">
        <v>4</v>
      </c>
      <c r="Z27" s="200">
        <v>5</v>
      </c>
      <c r="AA27" s="191"/>
      <c r="AB27" s="191"/>
      <c r="AC27" s="202">
        <v>13</v>
      </c>
      <c r="AD27" s="191"/>
      <c r="AE27" s="202">
        <v>10</v>
      </c>
      <c r="AF27" s="191"/>
      <c r="AH27" s="161"/>
      <c r="AI27" s="161"/>
      <c r="AJ27" s="163">
        <v>11</v>
      </c>
      <c r="AK27" s="163">
        <v>100</v>
      </c>
      <c r="AL27" s="161"/>
      <c r="AM27" s="17"/>
      <c r="AN27" s="17"/>
      <c r="AO27" s="17"/>
      <c r="AP27" s="17"/>
      <c r="AQ27" s="17"/>
      <c r="AR27" s="17"/>
      <c r="AS27" s="16"/>
      <c r="AT27" s="16"/>
      <c r="AU27" s="16"/>
      <c r="AV27" s="16"/>
      <c r="AW27"/>
      <c r="AX27" s="16"/>
      <c r="AY27"/>
      <c r="AZ27" s="16"/>
      <c r="BA27" s="16"/>
      <c r="BD27" s="16"/>
      <c r="BE27" s="16"/>
      <c r="BF27" s="16"/>
      <c r="BG27" s="16"/>
      <c r="BH27" s="16"/>
      <c r="BI27" s="16"/>
    </row>
    <row r="28" spans="1:61" s="4" customFormat="1" x14ac:dyDescent="0.2">
      <c r="A28" s="17">
        <v>22</v>
      </c>
      <c r="B28" s="17">
        <f>IF(Open[[#This Row],[PR Rang beim letzten Turnier]]&gt;Open[[#This Row],[PR Rang]],1,IF(Open[[#This Row],[PR Rang beim letzten Turnier]]=Open[[#This Row],[PR Rang]],0,-1))</f>
        <v>0</v>
      </c>
      <c r="C28" s="112">
        <f>RANK(Open[[#This Row],[PR Punkte]],Open[PR Punkte],0)</f>
        <v>22</v>
      </c>
      <c r="D28" s="17" t="s">
        <v>64</v>
      </c>
      <c r="E28" s="9" t="s">
        <v>7</v>
      </c>
      <c r="F28" s="109">
        <f>SUM(Open[[#This Row],[PR 1]:[PR 3]])</f>
        <v>1518.8000000000002</v>
      </c>
      <c r="G28" s="109">
        <f>LARGE(Open[[#This Row],[TS SH O 22.02.22]:[PR3]],1)</f>
        <v>562.6</v>
      </c>
      <c r="H28" s="109">
        <f>LARGE(Open[[#This Row],[TS SH O 22.02.22]:[PR3]],2)</f>
        <v>509.6</v>
      </c>
      <c r="I28" s="109">
        <f>LARGE(Open[[#This Row],[TS SH O 22.02.22]:[PR3]],3)</f>
        <v>446.6</v>
      </c>
      <c r="J28" s="9">
        <f>RANK(K28,$K$7:$K$295,0)</f>
        <v>15</v>
      </c>
      <c r="K28" s="109">
        <f>SUM(L28:W28)</f>
        <v>2431.3000000000002</v>
      </c>
      <c r="L28" s="109">
        <f>IFERROR(VLOOKUP(Open[[#This Row],[TS SH 22.02.22 Rang]],$AJ$16:$AK$111,2,0)*L$5," ")</f>
        <v>562.6</v>
      </c>
      <c r="M28" s="109">
        <f>IFERROR(VLOOKUP(Open[[#This Row],[TS SH O 23.04.22 Rang]],$AJ$16:$AK$111,2,0)*M$5," ")</f>
        <v>446.6</v>
      </c>
      <c r="N28" s="109">
        <f>IFERROR(VLOOKUP(Open[[#This Row],[TS LA O 08.05.22 Rang]],$AJ$16:$AK$111,2,0)*N$5," ")</f>
        <v>387.1</v>
      </c>
      <c r="O28" s="109">
        <f>IFERROR(VLOOKUP(Open[[#This Row],[TS SG O 25.05.22 Rang]],$AJ$16:$AK$111,2,0)*O$5," ")</f>
        <v>229.4</v>
      </c>
      <c r="P28" s="109">
        <f>IFERROR(VLOOKUP(Open[[#This Row],[TS SH O 25.06.22 Rang]],$AJ$16:$AK$111,2,0)*P$5," ")</f>
        <v>296</v>
      </c>
      <c r="Q28" s="109" t="str">
        <f>IFERROR(VLOOKUP(Open[[#This Row],[TS ZH O/A 25.06.22 Rang]],$AJ$16:$AK$111,2,0)*Q$5," ")</f>
        <v xml:space="preserve"> </v>
      </c>
      <c r="R28" s="109" t="str">
        <f>IFERROR(VLOOKUP(Open[[#This Row],[TS ZH O/B 25.06.22 Rang]],$AJ$16:$AK$111,2,0)*R$5," ")</f>
        <v xml:space="preserve"> </v>
      </c>
      <c r="S28" s="109">
        <f>IFERROR(VLOOKUP(Open[[#This Row],[SM BE O/A 09.07.22 Rang]],$AJ$16:$AK$111,2,0)*S$5," ")</f>
        <v>509.6</v>
      </c>
      <c r="T28" s="109" t="str">
        <f>IFERROR(VLOOKUP(Open[[#This Row],[SM BE O/B 09.07.22 Rang]],$AJ$16:$AK$111,2,0)*T$5," ")</f>
        <v xml:space="preserve"> </v>
      </c>
      <c r="U28" s="11">
        <v>0</v>
      </c>
      <c r="V28" s="11">
        <v>0</v>
      </c>
      <c r="W28" s="11">
        <v>0</v>
      </c>
      <c r="X28" s="61">
        <v>5</v>
      </c>
      <c r="Y28" s="202">
        <v>5</v>
      </c>
      <c r="Z28" s="202">
        <v>6</v>
      </c>
      <c r="AA28" s="201">
        <v>8</v>
      </c>
      <c r="AB28" s="202">
        <v>7</v>
      </c>
      <c r="AC28" s="191"/>
      <c r="AD28" s="191"/>
      <c r="AE28" s="202">
        <v>6</v>
      </c>
      <c r="AF28" s="191"/>
      <c r="AH28" s="17"/>
      <c r="AI28" s="159"/>
      <c r="AJ28" s="155">
        <v>12</v>
      </c>
      <c r="AK28" s="155">
        <v>100</v>
      </c>
      <c r="AL28" s="17"/>
      <c r="AM28" s="17"/>
      <c r="AN28" s="17"/>
      <c r="AO28" s="17"/>
      <c r="AP28" s="17"/>
      <c r="AQ28" s="17"/>
      <c r="AR28" s="17"/>
      <c r="AS28" s="16"/>
      <c r="AT28" s="16"/>
      <c r="AU28" s="16"/>
      <c r="AV28" s="16"/>
      <c r="AW28"/>
      <c r="AX28" s="16"/>
      <c r="AY28"/>
      <c r="AZ28" s="16"/>
      <c r="BA28" s="16"/>
      <c r="BD28" s="16"/>
      <c r="BE28" s="16"/>
      <c r="BF28" s="16"/>
      <c r="BG28" s="16"/>
      <c r="BH28" s="16"/>
      <c r="BI28" s="16"/>
    </row>
    <row r="29" spans="1:61" s="4" customFormat="1" x14ac:dyDescent="0.2">
      <c r="A29" s="11">
        <v>21</v>
      </c>
      <c r="B29" s="11">
        <f>IF(Open[[#This Row],[PR Rang beim letzten Turnier]]&gt;Open[[#This Row],[PR Rang]],1,IF(Open[[#This Row],[PR Rang beim letzten Turnier]]=Open[[#This Row],[PR Rang]],0,-1))</f>
        <v>-1</v>
      </c>
      <c r="C29" s="147">
        <f>RANK(Open[[#This Row],[PR Punkte]],Open[PR Punkte],0)</f>
        <v>23</v>
      </c>
      <c r="D29" s="27" t="s">
        <v>525</v>
      </c>
      <c r="E29" s="9" t="s">
        <v>18</v>
      </c>
      <c r="F29" s="109">
        <f>SUM(Open[[#This Row],[PR 1]:[PR 3]])</f>
        <v>1490</v>
      </c>
      <c r="G29" s="109">
        <f>LARGE(Open[[#This Row],[TS SH O 22.02.22]:[PR3]],1)</f>
        <v>1332</v>
      </c>
      <c r="H29" s="109">
        <f>LARGE(Open[[#This Row],[TS SH O 22.02.22]:[PR3]],2)</f>
        <v>158</v>
      </c>
      <c r="I29" s="109">
        <f>LARGE(Open[[#This Row],[TS SH O 22.02.22]:[PR3]],3)</f>
        <v>0</v>
      </c>
      <c r="J29" s="9">
        <f>RANK(K29,$K$7:$K$361,0)</f>
        <v>25</v>
      </c>
      <c r="K29" s="109">
        <f>SUM(L29:W29)</f>
        <v>1490</v>
      </c>
      <c r="L29" s="109"/>
      <c r="M29" s="109" t="str">
        <f>IFERROR(VLOOKUP(Open[[#This Row],[TS SH O 23.04.22 Rang]],$AJ$16:$AK$111,2,0)*M$5," ")</f>
        <v xml:space="preserve"> </v>
      </c>
      <c r="N29" s="109">
        <f>IFERROR(VLOOKUP(Open[[#This Row],[TS LA O 08.05.22 Rang]],$AJ$16:$AK$111,2,0)*N$5," ")</f>
        <v>158</v>
      </c>
      <c r="O29" s="109" t="str">
        <f>IFERROR(VLOOKUP(Open[[#This Row],[TS SG O 25.05.22 Rang]],$AJ$16:$AK$111,2,0)*O$5," ")</f>
        <v xml:space="preserve"> </v>
      </c>
      <c r="P29" s="109">
        <f>IFERROR(VLOOKUP(Open[[#This Row],[TS SH O 25.06.22 Rang]],$AJ$16:$AK$111,2,0)*P$5," ")</f>
        <v>1332</v>
      </c>
      <c r="Q29" s="109" t="str">
        <f>IFERROR(VLOOKUP(Open[[#This Row],[TS ZH O/A 25.06.22 Rang]],$AJ$16:$AK$111,2,0)*Q$5," ")</f>
        <v xml:space="preserve"> </v>
      </c>
      <c r="R29" s="109" t="str">
        <f>IFERROR(VLOOKUP(Open[[#This Row],[TS ZH O/B 25.06.22 Rang]],$AJ$16:$AK$111,2,0)*R$5," ")</f>
        <v xml:space="preserve"> </v>
      </c>
      <c r="S29" s="109" t="str">
        <f>IFERROR(VLOOKUP(Open[[#This Row],[SM BE O/A 09.07.22 Rang]],$AJ$16:$AK$111,2,0)*S$5," ")</f>
        <v xml:space="preserve"> </v>
      </c>
      <c r="T29" s="109" t="str">
        <f>IFERROR(VLOOKUP(Open[[#This Row],[SM BE O/B 09.07.22 Rang]],$AJ$16:$AK$111,2,0)*T$5," ")</f>
        <v xml:space="preserve"> </v>
      </c>
      <c r="U29" s="11">
        <v>0</v>
      </c>
      <c r="V29" s="11">
        <v>0</v>
      </c>
      <c r="W29" s="11">
        <v>0</v>
      </c>
      <c r="X29" s="129"/>
      <c r="Y29" s="191"/>
      <c r="Z29" s="191">
        <v>9</v>
      </c>
      <c r="AA29" s="191"/>
      <c r="AB29" s="191">
        <v>2</v>
      </c>
      <c r="AC29" s="191"/>
      <c r="AD29" s="191"/>
      <c r="AE29" s="191"/>
      <c r="AF29" s="191"/>
      <c r="AH29" s="17"/>
      <c r="AI29" s="159"/>
      <c r="AJ29" s="155">
        <v>13</v>
      </c>
      <c r="AK29" s="155">
        <v>100</v>
      </c>
      <c r="AL29" s="17"/>
      <c r="AM29" s="17"/>
      <c r="AN29" s="17"/>
      <c r="AO29" s="17"/>
      <c r="AP29" s="17"/>
      <c r="AQ29" s="17"/>
      <c r="AR29" s="17"/>
      <c r="AS29" s="16"/>
      <c r="AT29" s="16"/>
      <c r="AU29" s="16"/>
      <c r="AV29" s="16"/>
      <c r="AW29"/>
      <c r="AX29" s="16"/>
      <c r="AY29"/>
      <c r="AZ29" s="16"/>
      <c r="BA29" s="16"/>
      <c r="BD29" s="16"/>
      <c r="BE29" s="16"/>
      <c r="BF29" s="16"/>
      <c r="BG29" s="16"/>
      <c r="BH29" s="16"/>
      <c r="BI29" s="16"/>
    </row>
    <row r="30" spans="1:61" s="4" customFormat="1" x14ac:dyDescent="0.2">
      <c r="A30" s="17">
        <v>25</v>
      </c>
      <c r="B30" s="17">
        <f>IF(Open[[#This Row],[PR Rang beim letzten Turnier]]&gt;Open[[#This Row],[PR Rang]],1,IF(Open[[#This Row],[PR Rang beim letzten Turnier]]=Open[[#This Row],[PR Rang]],0,-1))</f>
        <v>1</v>
      </c>
      <c r="C30" s="112">
        <f>RANK(Open[[#This Row],[PR Punkte]],Open[PR Punkte],0)</f>
        <v>24</v>
      </c>
      <c r="D30" s="17" t="s">
        <v>23</v>
      </c>
      <c r="E30" s="9" t="s">
        <v>0</v>
      </c>
      <c r="F30" s="109">
        <f>SUM(Open[[#This Row],[PR 1]:[PR 3]])</f>
        <v>1359.8</v>
      </c>
      <c r="G30" s="109">
        <f>LARGE(Open[[#This Row],[TS SH O 22.02.22]:[PR3]],1)</f>
        <v>740</v>
      </c>
      <c r="H30" s="109">
        <f>LARGE(Open[[#This Row],[TS SH O 22.02.22]:[PR3]],2)</f>
        <v>411.79999999999995</v>
      </c>
      <c r="I30" s="109">
        <f>LARGE(Open[[#This Row],[TS SH O 22.02.22]:[PR3]],3)</f>
        <v>208</v>
      </c>
      <c r="J30" s="9">
        <f>RANK(K30,$K$7:$K$295,0)</f>
        <v>23</v>
      </c>
      <c r="K30" s="109">
        <f>SUM(L30:W30)</f>
        <v>1553.8</v>
      </c>
      <c r="L30" s="109">
        <f>IFERROR(VLOOKUP(Open[[#This Row],[TS SH 22.02.22 Rang]],$AJ$16:$AK$111,2,0)*L$5," ")</f>
        <v>194</v>
      </c>
      <c r="M30" s="109" t="str">
        <f>IFERROR(VLOOKUP(Open[[#This Row],[TS SH O 23.04.22 Rang]],$AJ$16:$AK$111,2,0)*M$5," ")</f>
        <v xml:space="preserve"> </v>
      </c>
      <c r="N30" s="109" t="str">
        <f>IFERROR(VLOOKUP(Open[[#This Row],[TS LA O 08.05.22 Rang]],$AJ$16:$AK$111,2,0)*N$5," ")</f>
        <v xml:space="preserve"> </v>
      </c>
      <c r="O30" s="109">
        <f>IFERROR(VLOOKUP(Open[[#This Row],[TS SG O 25.05.22 Rang]],$AJ$16:$AK$111,2,0)*O$5," ")</f>
        <v>740</v>
      </c>
      <c r="P30" s="109" t="str">
        <f>IFERROR(VLOOKUP(Open[[#This Row],[TS SH O 25.06.22 Rang]],$AJ$16:$AK$111,2,0)*P$5," ")</f>
        <v xml:space="preserve"> </v>
      </c>
      <c r="Q30" s="109">
        <f>IFERROR(VLOOKUP(Open[[#This Row],[TS ZH O/A 25.06.22 Rang]],$AJ$16:$AK$111,2,0)*Q$5," ")</f>
        <v>411.79999999999995</v>
      </c>
      <c r="R30" s="109" t="str">
        <f>IFERROR(VLOOKUP(Open[[#This Row],[TS ZH O/B 25.06.22 Rang]],$AJ$16:$AK$111,2,0)*R$5," ")</f>
        <v xml:space="preserve"> </v>
      </c>
      <c r="S30" s="109">
        <f>IFERROR(VLOOKUP(Open[[#This Row],[SM BE O/A 09.07.22 Rang]],$AJ$16:$AK$111,2,0)*S$5," ")</f>
        <v>208</v>
      </c>
      <c r="T30" s="109" t="str">
        <f>IFERROR(VLOOKUP(Open[[#This Row],[SM BE O/B 09.07.22 Rang]],$AJ$16:$AK$111,2,0)*T$5," ")</f>
        <v xml:space="preserve"> </v>
      </c>
      <c r="U30" s="11">
        <v>0</v>
      </c>
      <c r="V30" s="11">
        <v>0</v>
      </c>
      <c r="W30" s="11">
        <v>0</v>
      </c>
      <c r="X30" s="60">
        <v>15</v>
      </c>
      <c r="Y30" s="191"/>
      <c r="Z30" s="191"/>
      <c r="AA30" s="200">
        <v>4</v>
      </c>
      <c r="AB30" s="191"/>
      <c r="AC30" s="202">
        <v>5</v>
      </c>
      <c r="AD30" s="191"/>
      <c r="AE30" s="202">
        <v>14</v>
      </c>
      <c r="AF30" s="191"/>
      <c r="AG30" s="112" t="s">
        <v>458</v>
      </c>
      <c r="AH30" s="17"/>
      <c r="AI30" s="17"/>
      <c r="AJ30" s="155">
        <v>14</v>
      </c>
      <c r="AK30" s="155">
        <v>100</v>
      </c>
      <c r="AL30" s="17"/>
      <c r="AM30" s="17"/>
      <c r="AN30" s="17"/>
      <c r="AO30" s="17"/>
      <c r="AP30" s="17"/>
      <c r="AQ30" s="17"/>
      <c r="AR30" s="17"/>
      <c r="AS30" s="16"/>
      <c r="AT30" s="16"/>
      <c r="AU30" s="16"/>
      <c r="AV30" s="16"/>
      <c r="AW30"/>
      <c r="AX30" s="16"/>
      <c r="AY30"/>
      <c r="AZ30" s="16"/>
      <c r="BA30" s="16"/>
      <c r="BD30" s="16"/>
      <c r="BE30" s="16"/>
      <c r="BF30" s="16"/>
      <c r="BG30" s="16"/>
      <c r="BH30" s="16"/>
      <c r="BI30" s="16"/>
    </row>
    <row r="31" spans="1:61" s="4" customFormat="1" ht="17" thickBot="1" x14ac:dyDescent="0.25">
      <c r="A31" s="181">
        <v>25</v>
      </c>
      <c r="B31" s="181">
        <f>IF(Open[[#This Row],[PR Rang beim letzten Turnier]]&gt;Open[[#This Row],[PR Rang]],1,IF(Open[[#This Row],[PR Rang beim letzten Turnier]]=Open[[#This Row],[PR Rang]],0,-1))</f>
        <v>1</v>
      </c>
      <c r="C31" s="149">
        <f>RANK(Open[[#This Row],[PR Punkte]],Open[PR Punkte],0)</f>
        <v>24</v>
      </c>
      <c r="D31" s="181" t="s">
        <v>24</v>
      </c>
      <c r="E31" s="306" t="s">
        <v>0</v>
      </c>
      <c r="F31" s="151">
        <f>SUM(Open[[#This Row],[PR 1]:[PR 3]])</f>
        <v>1359.8</v>
      </c>
      <c r="G31" s="151">
        <f>LARGE(Open[[#This Row],[TS SH O 22.02.22]:[PR3]],1)</f>
        <v>740</v>
      </c>
      <c r="H31" s="151">
        <f>LARGE(Open[[#This Row],[TS SH O 22.02.22]:[PR3]],2)</f>
        <v>411.79999999999995</v>
      </c>
      <c r="I31" s="151">
        <f>LARGE(Open[[#This Row],[TS SH O 22.02.22]:[PR3]],3)</f>
        <v>208</v>
      </c>
      <c r="J31" s="306">
        <f>RANK(K31,$K$7:$K$295,0)</f>
        <v>23</v>
      </c>
      <c r="K31" s="151">
        <f>SUM(L31:W31)</f>
        <v>1553.8</v>
      </c>
      <c r="L31" s="151">
        <f>IFERROR(VLOOKUP(Open[[#This Row],[TS SH 22.02.22 Rang]],$AJ$16:$AK$111,2,0)*L$5," ")</f>
        <v>194</v>
      </c>
      <c r="M31" s="151" t="str">
        <f>IFERROR(VLOOKUP(Open[[#This Row],[TS SH O 23.04.22 Rang]],$AJ$16:$AK$111,2,0)*M$5," ")</f>
        <v xml:space="preserve"> </v>
      </c>
      <c r="N31" s="151" t="str">
        <f>IFERROR(VLOOKUP(Open[[#This Row],[TS LA O 08.05.22 Rang]],$AJ$16:$AK$111,2,0)*N$5," ")</f>
        <v xml:space="preserve"> </v>
      </c>
      <c r="O31" s="151">
        <f>IFERROR(VLOOKUP(Open[[#This Row],[TS SG O 25.05.22 Rang]],$AJ$16:$AK$111,2,0)*O$5," ")</f>
        <v>740</v>
      </c>
      <c r="P31" s="151" t="str">
        <f>IFERROR(VLOOKUP(Open[[#This Row],[TS SH O 25.06.22 Rang]],$AJ$16:$AK$111,2,0)*P$5," ")</f>
        <v xml:space="preserve"> </v>
      </c>
      <c r="Q31" s="151">
        <f>IFERROR(VLOOKUP(Open[[#This Row],[TS ZH O/A 25.06.22 Rang]],$AJ$16:$AK$111,2,0)*Q$5," ")</f>
        <v>411.79999999999995</v>
      </c>
      <c r="R31" s="151" t="str">
        <f>IFERROR(VLOOKUP(Open[[#This Row],[TS ZH O/B 25.06.22 Rang]],$AJ$16:$AK$111,2,0)*R$5," ")</f>
        <v xml:space="preserve"> </v>
      </c>
      <c r="S31" s="151">
        <f>IFERROR(VLOOKUP(Open[[#This Row],[SM BE O/A 09.07.22 Rang]],$AJ$16:$AK$111,2,0)*S$5," ")</f>
        <v>208</v>
      </c>
      <c r="T31" s="151" t="str">
        <f>IFERROR(VLOOKUP(Open[[#This Row],[SM BE O/B 09.07.22 Rang]],$AJ$16:$AK$111,2,0)*T$5," ")</f>
        <v xml:space="preserve"> </v>
      </c>
      <c r="U31" s="150">
        <v>0</v>
      </c>
      <c r="V31" s="150">
        <v>0</v>
      </c>
      <c r="W31" s="150">
        <v>0</v>
      </c>
      <c r="X31" s="308">
        <v>15</v>
      </c>
      <c r="Y31" s="192"/>
      <c r="Z31" s="192"/>
      <c r="AA31" s="251">
        <v>4</v>
      </c>
      <c r="AB31" s="192"/>
      <c r="AC31" s="251">
        <v>5</v>
      </c>
      <c r="AD31" s="192"/>
      <c r="AE31" s="251">
        <v>14</v>
      </c>
      <c r="AF31" s="192"/>
      <c r="AG31" s="149" t="s">
        <v>457</v>
      </c>
      <c r="AH31" s="181"/>
      <c r="AI31" s="17"/>
      <c r="AJ31" s="155">
        <v>15</v>
      </c>
      <c r="AK31" s="155">
        <v>100</v>
      </c>
      <c r="AL31" s="17"/>
      <c r="AM31" s="17"/>
      <c r="AN31" s="17"/>
      <c r="AO31" s="17"/>
      <c r="AP31" s="17"/>
      <c r="AQ31" s="17"/>
      <c r="AR31" s="17"/>
      <c r="AS31" s="16"/>
      <c r="AT31" s="16"/>
      <c r="AU31" s="16"/>
      <c r="AV31" s="16"/>
      <c r="AW31"/>
      <c r="AX31" s="16"/>
      <c r="AZ31" s="16"/>
      <c r="BA31" s="16"/>
      <c r="BD31" s="16"/>
      <c r="BE31" s="16"/>
      <c r="BF31" s="16"/>
      <c r="BG31" s="16"/>
      <c r="BH31" s="16"/>
      <c r="BI31" s="16"/>
    </row>
    <row r="32" spans="1:61" s="4" customFormat="1" x14ac:dyDescent="0.2">
      <c r="A32" s="17">
        <v>23</v>
      </c>
      <c r="B32" s="17">
        <f>IF(Open[[#This Row],[PR Rang beim letzten Turnier]]&gt;Open[[#This Row],[PR Rang]],1,IF(Open[[#This Row],[PR Rang beim letzten Turnier]]=Open[[#This Row],[PR Rang]],0,-1))</f>
        <v>-1</v>
      </c>
      <c r="C32" s="112">
        <f>RANK(Open[[#This Row],[PR Punkte]],Open[PR Punkte],0)</f>
        <v>26</v>
      </c>
      <c r="D32" s="43" t="s">
        <v>372</v>
      </c>
      <c r="E32" s="11" t="s">
        <v>18</v>
      </c>
      <c r="F32" s="109">
        <f>SUM(Open[[#This Row],[PR 1]:[PR 3]])</f>
        <v>1358</v>
      </c>
      <c r="G32" s="109">
        <f>LARGE(Open[[#This Row],[TS SH O 22.02.22]:[PR3]],1)</f>
        <v>1358</v>
      </c>
      <c r="H32" s="109">
        <f>LARGE(Open[[#This Row],[TS SH O 22.02.22]:[PR3]],2)</f>
        <v>0</v>
      </c>
      <c r="I32" s="109">
        <f>LARGE(Open[[#This Row],[TS SH O 22.02.22]:[PR3]],3)</f>
        <v>0</v>
      </c>
      <c r="J32" s="11">
        <f>RANK(K32,$K$7:$K$295,0)</f>
        <v>27</v>
      </c>
      <c r="K32" s="109">
        <f>SUM(L32:W32)</f>
        <v>1358</v>
      </c>
      <c r="L32" s="109">
        <f>IFERROR(VLOOKUP(Open[[#This Row],[TS SH 22.02.22 Rang]],$AJ$16:$AK$111,2,0)*L$5," ")</f>
        <v>1358</v>
      </c>
      <c r="M32" s="109" t="str">
        <f>IFERROR(VLOOKUP(Open[[#This Row],[TS SH O 23.04.22 Rang]],$AJ$16:$AK$111,2,0)*M$5," ")</f>
        <v xml:space="preserve"> </v>
      </c>
      <c r="N32" s="109" t="str">
        <f>IFERROR(VLOOKUP(Open[[#This Row],[TS LA O 08.05.22 Rang]],$AJ$16:$AK$111,2,0)*N$5," ")</f>
        <v xml:space="preserve"> </v>
      </c>
      <c r="O32" s="109" t="str">
        <f>IFERROR(VLOOKUP(Open[[#This Row],[TS SG O 25.05.22 Rang]],$AJ$16:$AK$111,2,0)*O$5," ")</f>
        <v xml:space="preserve"> </v>
      </c>
      <c r="P32" s="109" t="str">
        <f>IFERROR(VLOOKUP(Open[[#This Row],[TS SH O 25.06.22 Rang]],$AJ$16:$AK$111,2,0)*P$5," ")</f>
        <v xml:space="preserve"> </v>
      </c>
      <c r="Q32" s="109" t="str">
        <f>IFERROR(VLOOKUP(Open[[#This Row],[TS ZH O/A 25.06.22 Rang]],$AJ$16:$AK$111,2,0)*Q$5," ")</f>
        <v xml:space="preserve"> </v>
      </c>
      <c r="R32" s="109" t="str">
        <f>IFERROR(VLOOKUP(Open[[#This Row],[TS ZH O/B 25.06.22 Rang]],$AJ$16:$AK$111,2,0)*R$5," ")</f>
        <v xml:space="preserve"> </v>
      </c>
      <c r="S32" s="109" t="str">
        <f>IFERROR(VLOOKUP(Open[[#This Row],[SM BE O/A 09.07.22 Rang]],$AJ$16:$AK$111,2,0)*S$5," ")</f>
        <v xml:space="preserve"> </v>
      </c>
      <c r="T32" s="109" t="str">
        <f>IFERROR(VLOOKUP(Open[[#This Row],[SM BE O/B 09.07.22 Rang]],$AJ$16:$AK$111,2,0)*T$5," ")</f>
        <v xml:space="preserve"> </v>
      </c>
      <c r="U32" s="11">
        <v>0</v>
      </c>
      <c r="V32" s="11">
        <v>0</v>
      </c>
      <c r="W32" s="11">
        <v>0</v>
      </c>
      <c r="X32" s="121">
        <v>3</v>
      </c>
      <c r="Y32" s="191"/>
      <c r="Z32" s="191"/>
      <c r="AA32" s="191"/>
      <c r="AB32" s="191"/>
      <c r="AC32" s="191"/>
      <c r="AD32" s="191"/>
      <c r="AE32" s="191"/>
      <c r="AF32" s="191"/>
      <c r="AG32" s="17"/>
      <c r="AH32" s="17"/>
      <c r="AI32" s="17"/>
      <c r="AJ32" s="155">
        <v>16</v>
      </c>
      <c r="AK32" s="155">
        <v>100</v>
      </c>
      <c r="AL32" s="17"/>
      <c r="AM32" s="17"/>
      <c r="AN32" s="17"/>
      <c r="AO32" s="17"/>
      <c r="AP32" s="17"/>
      <c r="AQ32" s="17"/>
      <c r="AR32" s="17"/>
      <c r="AS32" s="16"/>
      <c r="AT32" s="16"/>
      <c r="AU32" s="16"/>
      <c r="AV32" s="16"/>
      <c r="AW32"/>
      <c r="AX32" s="16"/>
      <c r="AZ32" s="16"/>
      <c r="BA32" s="16"/>
      <c r="BD32" s="16"/>
      <c r="BE32" s="16"/>
      <c r="BF32" s="16"/>
      <c r="BG32" s="16"/>
      <c r="BH32" s="16"/>
      <c r="BI32" s="16"/>
    </row>
    <row r="33" spans="1:61" s="4" customFormat="1" x14ac:dyDescent="0.2">
      <c r="A33" s="17">
        <v>23</v>
      </c>
      <c r="B33" s="17">
        <f>IF(Open[[#This Row],[PR Rang beim letzten Turnier]]&gt;Open[[#This Row],[PR Rang]],1,IF(Open[[#This Row],[PR Rang beim letzten Turnier]]=Open[[#This Row],[PR Rang]],0,-1))</f>
        <v>-1</v>
      </c>
      <c r="C33" s="112">
        <f>RANK(Open[[#This Row],[PR Punkte]],Open[PR Punkte],0)</f>
        <v>26</v>
      </c>
      <c r="D33" s="43" t="s">
        <v>373</v>
      </c>
      <c r="E33" s="11" t="s">
        <v>18</v>
      </c>
      <c r="F33" s="109">
        <f>SUM(Open[[#This Row],[PR 1]:[PR 3]])</f>
        <v>1358</v>
      </c>
      <c r="G33" s="109">
        <f>LARGE(Open[[#This Row],[TS SH O 22.02.22]:[PR3]],1)</f>
        <v>1358</v>
      </c>
      <c r="H33" s="109">
        <f>LARGE(Open[[#This Row],[TS SH O 22.02.22]:[PR3]],2)</f>
        <v>0</v>
      </c>
      <c r="I33" s="109">
        <f>LARGE(Open[[#This Row],[TS SH O 22.02.22]:[PR3]],3)</f>
        <v>0</v>
      </c>
      <c r="J33" s="11">
        <f>RANK(K33,$K$7:$K$295,0)</f>
        <v>27</v>
      </c>
      <c r="K33" s="109">
        <f>SUM(L33:W33)</f>
        <v>1358</v>
      </c>
      <c r="L33" s="109">
        <f>IFERROR(VLOOKUP(Open[[#This Row],[TS SH 22.02.22 Rang]],$AJ$16:$AK$111,2,0)*L$5," ")</f>
        <v>1358</v>
      </c>
      <c r="M33" s="109" t="str">
        <f>IFERROR(VLOOKUP(Open[[#This Row],[TS SH O 23.04.22 Rang]],$AJ$16:$AK$111,2,0)*M$5," ")</f>
        <v xml:space="preserve"> </v>
      </c>
      <c r="N33" s="109" t="str">
        <f>IFERROR(VLOOKUP(Open[[#This Row],[TS LA O 08.05.22 Rang]],$AJ$16:$AK$111,2,0)*N$5," ")</f>
        <v xml:space="preserve"> </v>
      </c>
      <c r="O33" s="109" t="str">
        <f>IFERROR(VLOOKUP(Open[[#This Row],[TS SG O 25.05.22 Rang]],$AJ$16:$AK$111,2,0)*O$5," ")</f>
        <v xml:space="preserve"> </v>
      </c>
      <c r="P33" s="109" t="str">
        <f>IFERROR(VLOOKUP(Open[[#This Row],[TS SH O 25.06.22 Rang]],$AJ$16:$AK$111,2,0)*P$5," ")</f>
        <v xml:space="preserve"> </v>
      </c>
      <c r="Q33" s="109" t="str">
        <f>IFERROR(VLOOKUP(Open[[#This Row],[TS ZH O/A 25.06.22 Rang]],$AJ$16:$AK$111,2,0)*Q$5," ")</f>
        <v xml:space="preserve"> </v>
      </c>
      <c r="R33" s="109" t="str">
        <f>IFERROR(VLOOKUP(Open[[#This Row],[TS ZH O/B 25.06.22 Rang]],$AJ$16:$AK$111,2,0)*R$5," ")</f>
        <v xml:space="preserve"> </v>
      </c>
      <c r="S33" s="109" t="str">
        <f>IFERROR(VLOOKUP(Open[[#This Row],[SM BE O/A 09.07.22 Rang]],$AJ$16:$AK$111,2,0)*S$5," ")</f>
        <v xml:space="preserve"> </v>
      </c>
      <c r="T33" s="109" t="str">
        <f>IFERROR(VLOOKUP(Open[[#This Row],[SM BE O/B 09.07.22 Rang]],$AJ$16:$AK$111,2,0)*T$5," ")</f>
        <v xml:space="preserve"> </v>
      </c>
      <c r="U33" s="11">
        <v>0</v>
      </c>
      <c r="V33" s="11">
        <v>0</v>
      </c>
      <c r="W33" s="11">
        <v>0</v>
      </c>
      <c r="X33" s="121">
        <v>3</v>
      </c>
      <c r="Y33" s="191"/>
      <c r="Z33" s="191"/>
      <c r="AA33" s="191"/>
      <c r="AB33" s="191"/>
      <c r="AC33" s="191"/>
      <c r="AD33" s="191"/>
      <c r="AE33" s="191"/>
      <c r="AF33" s="191"/>
      <c r="AG33" s="161"/>
      <c r="AH33" s="161"/>
      <c r="AI33" s="161"/>
      <c r="AJ33" s="163">
        <v>17</v>
      </c>
      <c r="AK33" s="163">
        <v>30</v>
      </c>
      <c r="AL33" s="161"/>
      <c r="AM33" s="17"/>
      <c r="AN33" s="17"/>
      <c r="AO33" s="17"/>
      <c r="AP33" s="17"/>
      <c r="AQ33" s="17"/>
      <c r="AR33" s="17"/>
      <c r="AS33" s="16"/>
      <c r="AT33" s="16"/>
      <c r="AU33" s="16"/>
      <c r="AV33" s="16"/>
      <c r="AW33"/>
      <c r="AX33" s="16"/>
      <c r="AZ33" s="16"/>
      <c r="BA33" s="16"/>
      <c r="BD33" s="16"/>
      <c r="BE33" s="16"/>
      <c r="BF33" s="16"/>
      <c r="BG33" s="16"/>
      <c r="BH33" s="16"/>
      <c r="BI33" s="16"/>
    </row>
    <row r="34" spans="1:61" s="4" customFormat="1" x14ac:dyDescent="0.2">
      <c r="A34" s="11">
        <v>27</v>
      </c>
      <c r="B34" s="11">
        <f>IF(Open[[#This Row],[PR Rang beim letzten Turnier]]&gt;Open[[#This Row],[PR Rang]],1,IF(Open[[#This Row],[PR Rang beim letzten Turnier]]=Open[[#This Row],[PR Rang]],0,-1))</f>
        <v>-1</v>
      </c>
      <c r="C34" s="147">
        <f>RANK(Open[[#This Row],[PR Punkte]],Open[PR Punkte],0)</f>
        <v>28</v>
      </c>
      <c r="D34" s="27" t="s">
        <v>414</v>
      </c>
      <c r="E34" s="9" t="s">
        <v>7</v>
      </c>
      <c r="F34" s="109">
        <f>SUM(Open[[#This Row],[PR 1]:[PR 3]])</f>
        <v>1332.6</v>
      </c>
      <c r="G34" s="109">
        <f>LARGE(Open[[#This Row],[TS SH O 22.02.22]:[PR3]],1)</f>
        <v>970</v>
      </c>
      <c r="H34" s="109">
        <f>LARGE(Open[[#This Row],[TS SH O 22.02.22]:[PR3]],2)</f>
        <v>362.6</v>
      </c>
      <c r="I34" s="109">
        <f>LARGE(Open[[#This Row],[TS SH O 22.02.22]:[PR3]],3)</f>
        <v>0</v>
      </c>
      <c r="J34" s="9">
        <f>RANK(K34,$K$7:$K$295,0)</f>
        <v>29</v>
      </c>
      <c r="K34" s="109">
        <f>SUM(L34:W34)</f>
        <v>1332.6</v>
      </c>
      <c r="L34" s="109">
        <f>IFERROR(VLOOKUP(Open[[#This Row],[TS SH 22.02.22 Rang]],$AJ$16:$AK$111,2,0)*L$5," ")</f>
        <v>970</v>
      </c>
      <c r="M34" s="109" t="str">
        <f>IFERROR(VLOOKUP(Open[[#This Row],[TS SH O 23.04.22 Rang]],$AJ$16:$AK$111,2,0)*M$5," ")</f>
        <v xml:space="preserve"> </v>
      </c>
      <c r="N34" s="109" t="str">
        <f>IFERROR(VLOOKUP(Open[[#This Row],[TS LA O 08.05.22 Rang]],$AJ$16:$AK$111,2,0)*N$5," ")</f>
        <v xml:space="preserve"> </v>
      </c>
      <c r="O34" s="109">
        <f>IFERROR(VLOOKUP(Open[[#This Row],[TS SG O 25.05.22 Rang]],$AJ$16:$AK$111,2,0)*O$5," ")</f>
        <v>362.6</v>
      </c>
      <c r="P34" s="109" t="str">
        <f>IFERROR(VLOOKUP(Open[[#This Row],[TS SH O 25.06.22 Rang]],$AJ$16:$AK$111,2,0)*P$5," ")</f>
        <v xml:space="preserve"> </v>
      </c>
      <c r="Q34" s="109" t="str">
        <f>IFERROR(VLOOKUP(Open[[#This Row],[TS ZH O/A 25.06.22 Rang]],$AJ$16:$AK$111,2,0)*Q$5," ")</f>
        <v xml:space="preserve"> </v>
      </c>
      <c r="R34" s="109" t="str">
        <f>IFERROR(VLOOKUP(Open[[#This Row],[TS ZH O/B 25.06.22 Rang]],$AJ$16:$AK$111,2,0)*R$5," ")</f>
        <v xml:space="preserve"> </v>
      </c>
      <c r="S34" s="109" t="str">
        <f>IFERROR(VLOOKUP(Open[[#This Row],[SM BE O/A 09.07.22 Rang]],$AJ$16:$AK$111,2,0)*S$5," ")</f>
        <v xml:space="preserve"> </v>
      </c>
      <c r="T34" s="109" t="str">
        <f>IFERROR(VLOOKUP(Open[[#This Row],[SM BE O/B 09.07.22 Rang]],$AJ$16:$AK$111,2,0)*T$5," ")</f>
        <v xml:space="preserve"> </v>
      </c>
      <c r="U34" s="11">
        <v>0</v>
      </c>
      <c r="V34" s="11">
        <v>0</v>
      </c>
      <c r="W34" s="11">
        <v>0</v>
      </c>
      <c r="X34" s="129">
        <v>4</v>
      </c>
      <c r="Y34" s="191"/>
      <c r="Z34" s="191"/>
      <c r="AA34" s="191">
        <v>6</v>
      </c>
      <c r="AB34" s="191"/>
      <c r="AC34" s="191"/>
      <c r="AD34" s="191"/>
      <c r="AE34" s="191"/>
      <c r="AF34" s="191"/>
      <c r="AG34" s="17"/>
      <c r="AH34" s="17"/>
      <c r="AI34" s="17"/>
      <c r="AJ34" s="155">
        <v>18</v>
      </c>
      <c r="AK34" s="155">
        <v>30</v>
      </c>
      <c r="AL34" s="17"/>
      <c r="AM34" s="17"/>
      <c r="AN34" s="17"/>
      <c r="AO34" s="17"/>
      <c r="AP34" s="17"/>
      <c r="AQ34" s="17"/>
      <c r="AR34" s="17"/>
      <c r="AS34" s="16"/>
      <c r="AT34" s="16"/>
      <c r="AU34" s="16"/>
      <c r="AV34" s="16"/>
      <c r="AW34"/>
      <c r="AX34" s="16"/>
      <c r="AZ34" s="16"/>
      <c r="BA34" s="16"/>
      <c r="BB34"/>
      <c r="BD34"/>
      <c r="BE34" s="16"/>
      <c r="BF34" s="16"/>
      <c r="BG34" s="16"/>
      <c r="BH34" s="16"/>
      <c r="BI34" s="16"/>
    </row>
    <row r="35" spans="1:61" s="4" customFormat="1" x14ac:dyDescent="0.2">
      <c r="A35" s="17">
        <v>30</v>
      </c>
      <c r="B35" s="17">
        <f>IF(Open[[#This Row],[PR Rang beim letzten Turnier]]&gt;Open[[#This Row],[PR Rang]],1,IF(Open[[#This Row],[PR Rang beim letzten Turnier]]=Open[[#This Row],[PR Rang]],0,-1))</f>
        <v>1</v>
      </c>
      <c r="C35" s="112">
        <f>RANK(Open[[#This Row],[PR Punkte]],Open[PR Punkte],0)</f>
        <v>29</v>
      </c>
      <c r="D35" s="27" t="s">
        <v>144</v>
      </c>
      <c r="E35" s="9" t="s">
        <v>17</v>
      </c>
      <c r="F35" s="109">
        <f>SUM(Open[[#This Row],[PR 1]:[PR 3]])</f>
        <v>1120</v>
      </c>
      <c r="G35" s="109">
        <f>LARGE(Open[[#This Row],[TS SH O 22.02.22]:[PR3]],1)</f>
        <v>770</v>
      </c>
      <c r="H35" s="109">
        <f>LARGE(Open[[#This Row],[TS SH O 22.02.22]:[PR3]],2)</f>
        <v>208</v>
      </c>
      <c r="I35" s="109">
        <f>LARGE(Open[[#This Row],[TS SH O 22.02.22]:[PR3]],3)</f>
        <v>142</v>
      </c>
      <c r="J35" s="9">
        <f>RANK(K35,$K$7:$K$295,0)</f>
        <v>30</v>
      </c>
      <c r="K35" s="109">
        <f>SUM(L35:W35)</f>
        <v>1120</v>
      </c>
      <c r="L35" s="109" t="str">
        <f>IFERROR(VLOOKUP(Open[[#This Row],[TS SH 22.02.22 Rang]],$AJ$16:$AK$111,2,0)*L$5," ")</f>
        <v xml:space="preserve"> </v>
      </c>
      <c r="M35" s="109">
        <f>IFERROR(VLOOKUP(Open[[#This Row],[TS SH O 23.04.22 Rang]],$AJ$16:$AK$111,2,0)*M$5," ")</f>
        <v>770</v>
      </c>
      <c r="N35" s="109" t="str">
        <f>IFERROR(VLOOKUP(Open[[#This Row],[TS LA O 08.05.22 Rang]],$AJ$16:$AK$111,2,0)*N$5," ")</f>
        <v xml:space="preserve"> </v>
      </c>
      <c r="O35" s="109" t="str">
        <f>IFERROR(VLOOKUP(Open[[#This Row],[TS SG O 25.05.22 Rang]],$AJ$16:$AK$111,2,0)*O$5," ")</f>
        <v xml:space="preserve"> </v>
      </c>
      <c r="P35" s="109" t="str">
        <f>IFERROR(VLOOKUP(Open[[#This Row],[TS SH O 25.06.22 Rang]],$AJ$16:$AK$111,2,0)*P$5," ")</f>
        <v xml:space="preserve"> </v>
      </c>
      <c r="Q35" s="109">
        <f>IFERROR(VLOOKUP(Open[[#This Row],[TS ZH O/A 25.06.22 Rang]],$AJ$16:$AK$111,2,0)*Q$5," ")</f>
        <v>142</v>
      </c>
      <c r="R35" s="109" t="str">
        <f>IFERROR(VLOOKUP(Open[[#This Row],[TS ZH O/B 25.06.22 Rang]],$AJ$16:$AK$111,2,0)*R$5," ")</f>
        <v xml:space="preserve"> </v>
      </c>
      <c r="S35" s="109">
        <f>IFERROR(VLOOKUP(Open[[#This Row],[SM BE O/A 09.07.22 Rang]],$AJ$16:$AK$111,2,0)*S$5," ")</f>
        <v>208</v>
      </c>
      <c r="T35" s="109" t="str">
        <f>IFERROR(VLOOKUP(Open[[#This Row],[SM BE O/B 09.07.22 Rang]],$AJ$16:$AK$111,2,0)*T$5," ")</f>
        <v xml:space="preserve"> </v>
      </c>
      <c r="U35" s="11">
        <v>0</v>
      </c>
      <c r="V35" s="11">
        <v>0</v>
      </c>
      <c r="W35" s="11">
        <v>0</v>
      </c>
      <c r="X35" s="129"/>
      <c r="Y35" s="202">
        <v>4</v>
      </c>
      <c r="Z35" s="191"/>
      <c r="AA35" s="191"/>
      <c r="AB35" s="191"/>
      <c r="AC35" s="202">
        <v>13</v>
      </c>
      <c r="AD35" s="191"/>
      <c r="AE35" s="202">
        <v>10</v>
      </c>
      <c r="AF35" s="191"/>
      <c r="AG35" s="161"/>
      <c r="AH35" s="161"/>
      <c r="AI35" s="161"/>
      <c r="AJ35" s="163">
        <v>19</v>
      </c>
      <c r="AK35" s="163">
        <v>30</v>
      </c>
      <c r="AL35" s="161"/>
      <c r="AM35" s="148" t="s">
        <v>5</v>
      </c>
      <c r="AN35" s="148" t="s">
        <v>4</v>
      </c>
      <c r="AO35" s="148" t="s">
        <v>442</v>
      </c>
      <c r="AP35" s="148" t="s">
        <v>6</v>
      </c>
      <c r="AQ35" s="17"/>
      <c r="AR35" s="17"/>
      <c r="AS35" s="16"/>
      <c r="AT35" s="16"/>
      <c r="AU35" s="16"/>
      <c r="AV35" s="16"/>
      <c r="AW35"/>
      <c r="AX35" s="16"/>
      <c r="AZ35" s="16"/>
      <c r="BB35"/>
      <c r="BC35" s="16"/>
      <c r="BD35"/>
      <c r="BE35" s="16"/>
      <c r="BF35" s="16"/>
      <c r="BG35" s="16"/>
      <c r="BH35" s="16"/>
      <c r="BI35" s="16"/>
    </row>
    <row r="36" spans="1:61" s="4" customFormat="1" x14ac:dyDescent="0.2">
      <c r="A36" s="17">
        <v>29</v>
      </c>
      <c r="B36" s="17">
        <f>IF(Open[[#This Row],[PR Rang beim letzten Turnier]]&gt;Open[[#This Row],[PR Rang]],1,IF(Open[[#This Row],[PR Rang beim letzten Turnier]]=Open[[#This Row],[PR Rang]],0,-1))</f>
        <v>-1</v>
      </c>
      <c r="C36" s="112">
        <f>RANK(Open[[#This Row],[PR Punkte]],Open[PR Punkte],0)</f>
        <v>30</v>
      </c>
      <c r="D36" s="17" t="s">
        <v>79</v>
      </c>
      <c r="E36" s="307" t="s">
        <v>16</v>
      </c>
      <c r="F36" s="109">
        <f>SUM(Open[[#This Row],[PR 1]:[PR 3]])</f>
        <v>1001</v>
      </c>
      <c r="G36" s="109">
        <f>LARGE(Open[[#This Row],[TS SH O 22.02.22]:[PR3]],1)</f>
        <v>362.6</v>
      </c>
      <c r="H36" s="109">
        <f>LARGE(Open[[#This Row],[TS SH O 22.02.22]:[PR3]],2)</f>
        <v>322.40000000000003</v>
      </c>
      <c r="I36" s="109">
        <f>LARGE(Open[[#This Row],[TS SH O 22.02.22]:[PR3]],3)</f>
        <v>316</v>
      </c>
      <c r="J36" s="11">
        <f>RANK(K36,$K$7:$K$295,0)</f>
        <v>26</v>
      </c>
      <c r="K36" s="109">
        <f>SUM(L36:W36)</f>
        <v>1451</v>
      </c>
      <c r="L36" s="109" t="str">
        <f>IFERROR(VLOOKUP(Open[[#This Row],[TS SH 22.02.22 Rang]],$AJ$16:$AK$111,2,0)*L$5," ")</f>
        <v xml:space="preserve"> </v>
      </c>
      <c r="M36" s="109">
        <f>IFERROR(VLOOKUP(Open[[#This Row],[TS SH O 23.04.22 Rang]],$AJ$16:$AK$111,2,0)*M$5," ")</f>
        <v>308</v>
      </c>
      <c r="N36" s="109">
        <f>IFERROR(VLOOKUP(Open[[#This Row],[TS LA O 08.05.22 Rang]],$AJ$16:$AK$111,2,0)*N$5," ")</f>
        <v>316</v>
      </c>
      <c r="O36" s="109" t="str">
        <f>IFERROR(VLOOKUP(Open[[#This Row],[TS SG O 25.05.22 Rang]],$AJ$16:$AK$111,2,0)*O$5," ")</f>
        <v xml:space="preserve"> </v>
      </c>
      <c r="P36" s="109">
        <f>IFERROR(VLOOKUP(Open[[#This Row],[TS SH O 25.06.22 Rang]],$AJ$16:$AK$111,2,0)*P$5," ")</f>
        <v>362.6</v>
      </c>
      <c r="Q36" s="109">
        <f>IFERROR(VLOOKUP(Open[[#This Row],[TS ZH O/A 25.06.22 Rang]],$AJ$16:$AK$111,2,0)*Q$5," ")</f>
        <v>142</v>
      </c>
      <c r="R36" s="109" t="str">
        <f>IFERROR(VLOOKUP(Open[[#This Row],[TS ZH O/B 25.06.22 Rang]],$AJ$16:$AK$111,2,0)*R$5," ")</f>
        <v xml:space="preserve"> </v>
      </c>
      <c r="S36" s="109">
        <f>IFERROR(VLOOKUP(Open[[#This Row],[SM BE O/A 09.07.22 Rang]],$AJ$16:$AK$111,2,0)*S$5," ")</f>
        <v>322.40000000000003</v>
      </c>
      <c r="T36" s="109" t="str">
        <f>IFERROR(VLOOKUP(Open[[#This Row],[SM BE O/B 09.07.22 Rang]],$AJ$16:$AK$111,2,0)*T$5," ")</f>
        <v xml:space="preserve"> </v>
      </c>
      <c r="U36" s="11">
        <v>0</v>
      </c>
      <c r="V36" s="11">
        <v>0</v>
      </c>
      <c r="W36" s="11">
        <v>0</v>
      </c>
      <c r="X36" s="129"/>
      <c r="Y36" s="202">
        <v>7</v>
      </c>
      <c r="Z36" s="202">
        <v>7</v>
      </c>
      <c r="AA36" s="191"/>
      <c r="AB36" s="203">
        <v>6</v>
      </c>
      <c r="AC36" s="201">
        <v>10</v>
      </c>
      <c r="AD36" s="191"/>
      <c r="AE36" s="203">
        <v>8</v>
      </c>
      <c r="AF36" s="191"/>
      <c r="AG36" s="17"/>
      <c r="AH36" s="17"/>
      <c r="AI36" s="17"/>
      <c r="AJ36" s="155">
        <v>20</v>
      </c>
      <c r="AK36" s="155">
        <v>30</v>
      </c>
      <c r="AL36" s="17"/>
      <c r="AM36" s="17">
        <f t="shared" ref="AM36:AM48" ca="1" si="0">RANK(AP36,$AP$36:$AP$48,0)</f>
        <v>1</v>
      </c>
      <c r="AN36" s="17" t="s">
        <v>0</v>
      </c>
      <c r="AO36" s="17">
        <f>COUNTIF(Open[Club],Tabel6487357616771737779[[#This Row],[Club]])</f>
        <v>22</v>
      </c>
      <c r="AP36" s="17">
        <f ca="1">SUMIF(Open[Club],Tabel6487357616771737779[[#This Row],[Club]],$F$7)</f>
        <v>30369.7</v>
      </c>
      <c r="AQ36" s="17"/>
      <c r="AR36" s="17"/>
      <c r="AS36" s="16"/>
      <c r="AT36" s="16"/>
      <c r="AU36" s="16"/>
      <c r="AV36" s="16"/>
      <c r="AW36"/>
      <c r="AX36" s="16"/>
      <c r="AZ36" s="16"/>
      <c r="BB36"/>
      <c r="BC36" s="16"/>
      <c r="BD36"/>
      <c r="BE36" s="16"/>
      <c r="BF36" s="16"/>
      <c r="BG36" s="16"/>
      <c r="BH36" s="16"/>
      <c r="BI36" s="16"/>
    </row>
    <row r="37" spans="1:61" s="4" customFormat="1" x14ac:dyDescent="0.2">
      <c r="A37" s="11">
        <v>31</v>
      </c>
      <c r="B37" s="11">
        <f>IF(Open[[#This Row],[PR Rang beim letzten Turnier]]&gt;Open[[#This Row],[PR Rang]],1,IF(Open[[#This Row],[PR Rang beim letzten Turnier]]=Open[[#This Row],[PR Rang]],0,-1))</f>
        <v>0</v>
      </c>
      <c r="C37" s="147">
        <f>RANK(Open[[#This Row],[PR Punkte]],Open[PR Punkte],0)</f>
        <v>31</v>
      </c>
      <c r="D37" s="27" t="s">
        <v>479</v>
      </c>
      <c r="E37" s="9" t="s">
        <v>18</v>
      </c>
      <c r="F37" s="109">
        <f>SUM(Open[[#This Row],[PR 1]:[PR 3]])</f>
        <v>894</v>
      </c>
      <c r="G37" s="109">
        <f>LARGE(Open[[#This Row],[TS SH O 22.02.22]:[PR3]],1)</f>
        <v>740</v>
      </c>
      <c r="H37" s="109">
        <f>LARGE(Open[[#This Row],[TS SH O 22.02.22]:[PR3]],2)</f>
        <v>154</v>
      </c>
      <c r="I37" s="109">
        <f>LARGE(Open[[#This Row],[TS SH O 22.02.22]:[PR3]],3)</f>
        <v>0</v>
      </c>
      <c r="J37" s="9">
        <f>RANK(K37,$K$7:$K$361,0)</f>
        <v>33</v>
      </c>
      <c r="K37" s="109">
        <f>SUM(L37:W37)</f>
        <v>894</v>
      </c>
      <c r="L37" s="109"/>
      <c r="M37" s="109">
        <f>IFERROR(VLOOKUP(Open[[#This Row],[TS SH O 23.04.22 Rang]],$AJ$16:$AK$111,2,0)*M$5," ")</f>
        <v>154</v>
      </c>
      <c r="N37" s="109" t="str">
        <f>IFERROR(VLOOKUP(Open[[#This Row],[TS LA O 08.05.22 Rang]],$AJ$16:$AK$111,2,0)*N$5," ")</f>
        <v xml:space="preserve"> </v>
      </c>
      <c r="O37" s="109" t="str">
        <f>IFERROR(VLOOKUP(Open[[#This Row],[TS SG O 25.05.22 Rang]],$AJ$16:$AK$111,2,0)*O$5," ")</f>
        <v xml:space="preserve"> </v>
      </c>
      <c r="P37" s="109">
        <f>IFERROR(VLOOKUP(Open[[#This Row],[TS SH O 25.06.22 Rang]],$AJ$16:$AK$111,2,0)*P$5," ")</f>
        <v>740</v>
      </c>
      <c r="Q37" s="109" t="str">
        <f>IFERROR(VLOOKUP(Open[[#This Row],[TS ZH O/A 25.06.22 Rang]],$AJ$16:$AK$111,2,0)*Q$5," ")</f>
        <v xml:space="preserve"> </v>
      </c>
      <c r="R37" s="109" t="str">
        <f>IFERROR(VLOOKUP(Open[[#This Row],[TS ZH O/B 25.06.22 Rang]],$AJ$16:$AK$111,2,0)*R$5," ")</f>
        <v xml:space="preserve"> </v>
      </c>
      <c r="S37" s="109" t="str">
        <f>IFERROR(VLOOKUP(Open[[#This Row],[SM BE O/A 09.07.22 Rang]],$AJ$16:$AK$111,2,0)*S$5," ")</f>
        <v xml:space="preserve"> </v>
      </c>
      <c r="T37" s="109" t="str">
        <f>IFERROR(VLOOKUP(Open[[#This Row],[SM BE O/B 09.07.22 Rang]],$AJ$16:$AK$111,2,0)*T$5," ")</f>
        <v xml:space="preserve"> </v>
      </c>
      <c r="U37" s="11">
        <v>0</v>
      </c>
      <c r="V37" s="11">
        <v>0</v>
      </c>
      <c r="W37" s="11">
        <v>0</v>
      </c>
      <c r="X37" s="129"/>
      <c r="Y37" s="191">
        <v>9</v>
      </c>
      <c r="Z37" s="191"/>
      <c r="AA37" s="191"/>
      <c r="AB37" s="265">
        <v>4</v>
      </c>
      <c r="AC37" s="191"/>
      <c r="AD37" s="191"/>
      <c r="AE37" s="191"/>
      <c r="AF37" s="191"/>
      <c r="AG37" s="17"/>
      <c r="AH37" s="17"/>
      <c r="AI37" s="17"/>
      <c r="AJ37" s="155">
        <v>21</v>
      </c>
      <c r="AK37" s="155">
        <v>30</v>
      </c>
      <c r="AL37" s="17"/>
      <c r="AM37" s="17">
        <f t="shared" ca="1" si="0"/>
        <v>2</v>
      </c>
      <c r="AN37" s="17" t="s">
        <v>7</v>
      </c>
      <c r="AO37" s="17">
        <f>COUNTIF(Open[Club],Tabel6487357616771737779[[#This Row],[Club]])</f>
        <v>20</v>
      </c>
      <c r="AP37" s="17">
        <f ca="1">SUMIF(Open[Club],Tabel6487357616771737779[[#This Row],[Club]],$F$7)</f>
        <v>19372.200000000004</v>
      </c>
      <c r="AQ37" s="17"/>
      <c r="AR37" s="17"/>
      <c r="AS37" s="16"/>
      <c r="AT37" s="16"/>
      <c r="AU37" s="16"/>
      <c r="AV37" s="16"/>
      <c r="AW37"/>
      <c r="AX37" s="16"/>
      <c r="AZ37" s="16"/>
      <c r="BB37"/>
      <c r="BC37" s="16"/>
      <c r="BD37"/>
      <c r="BE37" s="16"/>
      <c r="BF37" s="16"/>
      <c r="BG37" s="16"/>
      <c r="BH37" s="16"/>
      <c r="BI37" s="16"/>
    </row>
    <row r="38" spans="1:61" s="4" customFormat="1" x14ac:dyDescent="0.2">
      <c r="A38" s="258">
        <v>32</v>
      </c>
      <c r="B38" s="258">
        <f>IF(Open[[#This Row],[PR Rang beim letzten Turnier]]&gt;Open[[#This Row],[PR Rang]],1,IF(Open[[#This Row],[PR Rang beim letzten Turnier]]=Open[[#This Row],[PR Rang]],0,-1))</f>
        <v>0</v>
      </c>
      <c r="C38" s="259">
        <f>RANK(Open[[#This Row],[PR Punkte]],Open[PR Punkte],0)</f>
        <v>32</v>
      </c>
      <c r="D38" s="264" t="s">
        <v>587</v>
      </c>
      <c r="E38" s="4" t="s">
        <v>18</v>
      </c>
      <c r="F38" s="260">
        <f>SUM(Open[[#This Row],[PR 1]:[PR 3]])</f>
        <v>740</v>
      </c>
      <c r="G38" s="109">
        <f>LARGE(Open[[#This Row],[TS SH O 22.02.22]:[PR3]],1)</f>
        <v>740</v>
      </c>
      <c r="H38" s="109">
        <f>LARGE(Open[[#This Row],[TS SH O 22.02.22]:[PR3]],2)</f>
        <v>0</v>
      </c>
      <c r="I38" s="109">
        <f>LARGE(Open[[#This Row],[TS SH O 22.02.22]:[PR3]],3)</f>
        <v>0</v>
      </c>
      <c r="J38" s="196">
        <f>RANK(K38,$K$7:$K$361,0)</f>
        <v>36</v>
      </c>
      <c r="K38" s="261">
        <f>SUM(L38:W38)</f>
        <v>740</v>
      </c>
      <c r="L38" s="261"/>
      <c r="M38" s="261" t="str">
        <f>IFERROR(VLOOKUP(Open[[#This Row],[TS SH O 23.04.22 Rang]],$AJ$16:$AK$111,2,0)*M$5," ")</f>
        <v xml:space="preserve"> </v>
      </c>
      <c r="N38" s="261" t="str">
        <f>IFERROR(VLOOKUP(Open[[#This Row],[TS LA O 08.05.22 Rang]],$AJ$16:$AK$111,2,0)*N$5," ")</f>
        <v xml:space="preserve"> </v>
      </c>
      <c r="O38" s="109" t="str">
        <f>IFERROR(VLOOKUP(Open[[#This Row],[TS SG O 25.05.22 Rang]],$AJ$16:$AK$111,2,0)*O$5," ")</f>
        <v xml:space="preserve"> </v>
      </c>
      <c r="P38" s="109">
        <f>IFERROR(VLOOKUP(Open[[#This Row],[TS SH O 25.06.22 Rang]],$AJ$16:$AK$111,2,0)*P$5," ")</f>
        <v>740</v>
      </c>
      <c r="Q38" s="109" t="str">
        <f>IFERROR(VLOOKUP(Open[[#This Row],[TS ZH O/A 25.06.22 Rang]],$AJ$16:$AK$111,2,0)*Q$5," ")</f>
        <v xml:space="preserve"> </v>
      </c>
      <c r="R38" s="109" t="str">
        <f>IFERROR(VLOOKUP(Open[[#This Row],[TS ZH O/B 25.06.22 Rang]],$AJ$16:$AK$111,2,0)*R$5," ")</f>
        <v xml:space="preserve"> </v>
      </c>
      <c r="S38" s="109" t="str">
        <f>IFERROR(VLOOKUP(Open[[#This Row],[SM BE O/A 09.07.22 Rang]],$AJ$16:$AK$111,2,0)*S$5," ")</f>
        <v xml:space="preserve"> </v>
      </c>
      <c r="T38" s="109" t="str">
        <f>IFERROR(VLOOKUP(Open[[#This Row],[SM BE O/B 09.07.22 Rang]],$AJ$16:$AK$111,2,0)*T$5," ")</f>
        <v xml:space="preserve"> </v>
      </c>
      <c r="U38" s="11">
        <v>0</v>
      </c>
      <c r="V38" s="11">
        <v>0</v>
      </c>
      <c r="W38" s="11">
        <v>0</v>
      </c>
      <c r="X38" s="263"/>
      <c r="Y38" s="262"/>
      <c r="Z38" s="262"/>
      <c r="AA38" s="191"/>
      <c r="AB38" s="265">
        <v>4</v>
      </c>
      <c r="AC38" s="191"/>
      <c r="AD38" s="191"/>
      <c r="AE38" s="191"/>
      <c r="AF38" s="191"/>
      <c r="AG38" s="17"/>
      <c r="AH38" s="17"/>
      <c r="AI38" s="17"/>
      <c r="AJ38" s="155">
        <v>22</v>
      </c>
      <c r="AK38" s="155">
        <v>30</v>
      </c>
      <c r="AL38" s="17"/>
      <c r="AM38" s="17">
        <f t="shared" ca="1" si="0"/>
        <v>3</v>
      </c>
      <c r="AN38" s="17" t="s">
        <v>18</v>
      </c>
      <c r="AO38" s="17">
        <f>COUNTIF(Open[Club],Tabel6487357616771737779[[#This Row],[Club]])</f>
        <v>43</v>
      </c>
      <c r="AP38" s="17">
        <f ca="1">SUMIF(Open[Club],Tabel6487357616771737779[[#This Row],[Club]],$F$7)</f>
        <v>12363</v>
      </c>
      <c r="AQ38" s="17"/>
      <c r="AR38" s="17"/>
      <c r="AS38" s="16"/>
      <c r="AT38" s="16"/>
      <c r="AU38" s="16"/>
      <c r="AV38" s="16"/>
      <c r="AW38"/>
      <c r="AX38" s="16"/>
      <c r="AZ38" s="16"/>
      <c r="BB38"/>
      <c r="BC38" s="16"/>
      <c r="BD38"/>
      <c r="BE38" s="16"/>
      <c r="BF38" s="16"/>
      <c r="BG38" s="16"/>
      <c r="BH38" s="16"/>
      <c r="BI38" s="16"/>
    </row>
    <row r="39" spans="1:61" s="4" customFormat="1" x14ac:dyDescent="0.2">
      <c r="A39" s="17">
        <v>33</v>
      </c>
      <c r="B39" s="17">
        <f>IF(Open[[#This Row],[PR Rang beim letzten Turnier]]&gt;Open[[#This Row],[PR Rang]],1,IF(Open[[#This Row],[PR Rang beim letzten Turnier]]=Open[[#This Row],[PR Rang]],0,-1))</f>
        <v>0</v>
      </c>
      <c r="C39" s="112">
        <f>RANK(Open[[#This Row],[PR Punkte]],Open[PR Punkte],0)</f>
        <v>33</v>
      </c>
      <c r="D39" s="17" t="s">
        <v>83</v>
      </c>
      <c r="E39" s="9" t="s">
        <v>8</v>
      </c>
      <c r="F39" s="109">
        <f>SUM(Open[[#This Row],[PR 1]:[PR 3]])</f>
        <v>709.9</v>
      </c>
      <c r="G39" s="109">
        <f>LARGE(Open[[#This Row],[TS SH O 22.02.22]:[PR3]],1)</f>
        <v>347.9</v>
      </c>
      <c r="H39" s="109">
        <f>LARGE(Open[[#This Row],[TS SH O 22.02.22]:[PR3]],2)</f>
        <v>208</v>
      </c>
      <c r="I39" s="109">
        <f>LARGE(Open[[#This Row],[TS SH O 22.02.22]:[PR3]],3)</f>
        <v>154</v>
      </c>
      <c r="J39" s="9">
        <f>RANK(K39,$K$7:$K$295,0)</f>
        <v>31</v>
      </c>
      <c r="K39" s="109">
        <f>SUM(L39:W39)</f>
        <v>1064.0999999999999</v>
      </c>
      <c r="L39" s="109">
        <f>IFERROR(VLOOKUP(Open[[#This Row],[TS SH 22.02.22 Rang]],$AJ$16:$AK$111,2,0)*L$5," ")</f>
        <v>58.199999999999996</v>
      </c>
      <c r="M39" s="109">
        <f>IFERROR(VLOOKUP(Open[[#This Row],[TS SH O 23.04.22 Rang]],$AJ$16:$AK$111,2,0)*M$5," ")</f>
        <v>154</v>
      </c>
      <c r="N39" s="109" t="str">
        <f>IFERROR(VLOOKUP(Open[[#This Row],[TS LA O 08.05.22 Rang]],$AJ$16:$AK$111,2,0)*N$5," ")</f>
        <v xml:space="preserve"> </v>
      </c>
      <c r="O39" s="109">
        <f>IFERROR(VLOOKUP(Open[[#This Row],[TS SG O 25.05.22 Rang]],$AJ$16:$AK$111,2,0)*O$5," ")</f>
        <v>148</v>
      </c>
      <c r="P39" s="109">
        <f>IFERROR(VLOOKUP(Open[[#This Row],[TS SH O 25.06.22 Rang]],$AJ$16:$AK$111,2,0)*P$5," ")</f>
        <v>148</v>
      </c>
      <c r="Q39" s="109">
        <f>IFERROR(VLOOKUP(Open[[#This Row],[TS ZH O/A 25.06.22 Rang]],$AJ$16:$AK$111,2,0)*Q$5," ")</f>
        <v>347.9</v>
      </c>
      <c r="R39" s="109" t="str">
        <f>IFERROR(VLOOKUP(Open[[#This Row],[TS ZH O/B 25.06.22 Rang]],$AJ$16:$AK$111,2,0)*R$5," ")</f>
        <v xml:space="preserve"> </v>
      </c>
      <c r="S39" s="109">
        <f>IFERROR(VLOOKUP(Open[[#This Row],[SM BE O/A 09.07.22 Rang]],$AJ$16:$AK$111,2,0)*S$5," ")</f>
        <v>208</v>
      </c>
      <c r="T39" s="109" t="str">
        <f>IFERROR(VLOOKUP(Open[[#This Row],[SM BE O/B 09.07.22 Rang]],$AJ$16:$AK$111,2,0)*T$5," ")</f>
        <v xml:space="preserve"> </v>
      </c>
      <c r="U39" s="11">
        <v>0</v>
      </c>
      <c r="V39" s="11">
        <v>0</v>
      </c>
      <c r="W39" s="11">
        <v>0</v>
      </c>
      <c r="X39" s="129">
        <v>18</v>
      </c>
      <c r="Y39" s="191">
        <v>10</v>
      </c>
      <c r="Z39" s="191"/>
      <c r="AA39" s="191">
        <v>10</v>
      </c>
      <c r="AB39" s="191">
        <v>13</v>
      </c>
      <c r="AC39" s="191">
        <v>6</v>
      </c>
      <c r="AD39" s="191"/>
      <c r="AE39" s="191">
        <v>14</v>
      </c>
      <c r="AF39" s="191"/>
      <c r="AG39" s="17"/>
      <c r="AH39" s="17"/>
      <c r="AI39" s="17"/>
      <c r="AJ39" s="155">
        <v>23</v>
      </c>
      <c r="AK39" s="155">
        <v>30</v>
      </c>
      <c r="AL39" s="17"/>
      <c r="AM39" s="17">
        <f t="shared" ca="1" si="0"/>
        <v>5</v>
      </c>
      <c r="AN39" s="17" t="s">
        <v>17</v>
      </c>
      <c r="AO39" s="17">
        <f>COUNTIF(Open[Club],Tabel6487357616771737779[[#This Row],[Club]])</f>
        <v>16</v>
      </c>
      <c r="AP39" s="17">
        <f ca="1">SUMIF(Open[Club],Tabel6487357616771737779[[#This Row],[Club]],$F$7)</f>
        <v>7831.6999999999989</v>
      </c>
      <c r="AQ39" s="17"/>
      <c r="AR39" s="17"/>
      <c r="AS39" s="16"/>
      <c r="AT39" s="16"/>
      <c r="AU39"/>
      <c r="AV39" s="16"/>
      <c r="AW39"/>
      <c r="AX39" s="16"/>
      <c r="AY39" s="16"/>
      <c r="AZ39" s="16"/>
      <c r="BB39"/>
      <c r="BC39" s="16"/>
      <c r="BD39"/>
      <c r="BE39" s="16"/>
      <c r="BF39" s="16"/>
      <c r="BG39" s="16"/>
      <c r="BH39" s="16"/>
      <c r="BI39" s="16"/>
    </row>
    <row r="40" spans="1:61" s="4" customFormat="1" x14ac:dyDescent="0.2">
      <c r="A40" s="11">
        <v>33</v>
      </c>
      <c r="B40" s="11">
        <f>IF(Open[[#This Row],[PR Rang beim letzten Turnier]]&gt;Open[[#This Row],[PR Rang]],1,IF(Open[[#This Row],[PR Rang beim letzten Turnier]]=Open[[#This Row],[PR Rang]],0,-1))</f>
        <v>0</v>
      </c>
      <c r="C40" s="147">
        <f>RANK(Open[[#This Row],[PR Punkte]],Open[PR Punkte],0)</f>
        <v>33</v>
      </c>
      <c r="D40" s="17" t="s">
        <v>81</v>
      </c>
      <c r="E40" s="9" t="s">
        <v>8</v>
      </c>
      <c r="F40" s="109">
        <f>SUM(Open[[#This Row],[PR 1]:[PR 3]])</f>
        <v>709.9</v>
      </c>
      <c r="G40" s="109">
        <f>LARGE(Open[[#This Row],[TS SH O 22.02.22]:[PR3]],1)</f>
        <v>347.9</v>
      </c>
      <c r="H40" s="109">
        <f>LARGE(Open[[#This Row],[TS SH O 22.02.22]:[PR3]],2)</f>
        <v>208</v>
      </c>
      <c r="I40" s="109">
        <f>LARGE(Open[[#This Row],[TS SH O 22.02.22]:[PR3]],3)</f>
        <v>154</v>
      </c>
      <c r="J40" s="9">
        <f>RANK(K40,$K$7:$K$295,0)</f>
        <v>32</v>
      </c>
      <c r="K40" s="109">
        <f>SUM(L40:W40)</f>
        <v>1005.9</v>
      </c>
      <c r="L40" s="109" t="str">
        <f>IFERROR(VLOOKUP(Open[[#This Row],[TS SH 22.02.22 Rang]],$AJ$16:$AK$111,2,0)*L$5," ")</f>
        <v xml:space="preserve"> </v>
      </c>
      <c r="M40" s="109">
        <f>IFERROR(VLOOKUP(Open[[#This Row],[TS SH O 23.04.22 Rang]],$AJ$16:$AK$111,2,0)*M$5," ")</f>
        <v>154</v>
      </c>
      <c r="N40" s="109" t="str">
        <f>IFERROR(VLOOKUP(Open[[#This Row],[TS LA O 08.05.22 Rang]],$AJ$16:$AK$111,2,0)*N$5," ")</f>
        <v xml:space="preserve"> </v>
      </c>
      <c r="O40" s="109">
        <f>IFERROR(VLOOKUP(Open[[#This Row],[TS SG O 25.05.22 Rang]],$AJ$16:$AK$111,2,0)*O$5," ")</f>
        <v>148</v>
      </c>
      <c r="P40" s="109">
        <f>IFERROR(VLOOKUP(Open[[#This Row],[TS SH O 25.06.22 Rang]],$AJ$16:$AK$111,2,0)*P$5," ")</f>
        <v>148</v>
      </c>
      <c r="Q40" s="109">
        <f>IFERROR(VLOOKUP(Open[[#This Row],[TS ZH O/A 25.06.22 Rang]],$AJ$16:$AK$111,2,0)*Q$5," ")</f>
        <v>347.9</v>
      </c>
      <c r="R40" s="109" t="str">
        <f>IFERROR(VLOOKUP(Open[[#This Row],[TS ZH O/B 25.06.22 Rang]],$AJ$16:$AK$111,2,0)*R$5," ")</f>
        <v xml:space="preserve"> </v>
      </c>
      <c r="S40" s="109">
        <f>IFERROR(VLOOKUP(Open[[#This Row],[SM BE O/A 09.07.22 Rang]],$AJ$16:$AK$111,2,0)*S$5," ")</f>
        <v>208</v>
      </c>
      <c r="T40" s="109" t="str">
        <f>IFERROR(VLOOKUP(Open[[#This Row],[SM BE O/B 09.07.22 Rang]],$AJ$16:$AK$111,2,0)*T$5," ")</f>
        <v xml:space="preserve"> </v>
      </c>
      <c r="U40" s="11">
        <v>0</v>
      </c>
      <c r="V40" s="11">
        <v>0</v>
      </c>
      <c r="W40" s="11">
        <v>0</v>
      </c>
      <c r="X40" s="129"/>
      <c r="Y40" s="191">
        <v>10</v>
      </c>
      <c r="Z40" s="191"/>
      <c r="AA40" s="191">
        <v>10</v>
      </c>
      <c r="AB40" s="191">
        <v>13</v>
      </c>
      <c r="AC40" s="191">
        <v>6</v>
      </c>
      <c r="AD40" s="191"/>
      <c r="AE40" s="191">
        <v>14</v>
      </c>
      <c r="AF40" s="191"/>
      <c r="AG40" s="17"/>
      <c r="AH40" s="17"/>
      <c r="AI40" s="17"/>
      <c r="AJ40" s="155">
        <v>24</v>
      </c>
      <c r="AK40" s="155">
        <v>30</v>
      </c>
      <c r="AL40" s="17"/>
      <c r="AM40" s="17">
        <f t="shared" ca="1" si="0"/>
        <v>7</v>
      </c>
      <c r="AN40" s="17" t="s">
        <v>10</v>
      </c>
      <c r="AO40" s="17">
        <f>COUNTIF(Open[Club],Tabel6487357616771737779[[#This Row],[Club]])</f>
        <v>33</v>
      </c>
      <c r="AP40" s="17">
        <f ca="1">SUMIF(Open[Club],Tabel6487357616771737779[[#This Row],[Club]],$F$7)</f>
        <v>5389.4999999999991</v>
      </c>
      <c r="AQ40" s="17"/>
      <c r="AR40" s="17"/>
      <c r="AS40" s="16"/>
      <c r="AT40" s="16"/>
      <c r="AU40"/>
      <c r="AV40" s="16"/>
      <c r="AW40"/>
      <c r="AX40" s="16"/>
      <c r="AY40" s="16"/>
      <c r="AZ40" s="16"/>
      <c r="BA40" s="16"/>
      <c r="BB40"/>
      <c r="BC40" s="16"/>
      <c r="BD40" s="16"/>
      <c r="BE40" s="16"/>
      <c r="BF40" s="16"/>
      <c r="BG40" s="16"/>
      <c r="BH40" s="16"/>
      <c r="BI40" s="16"/>
    </row>
    <row r="41" spans="1:61" s="4" customFormat="1" x14ac:dyDescent="0.2">
      <c r="A41" s="11">
        <v>35</v>
      </c>
      <c r="B41" s="11">
        <f>IF(Open[[#This Row],[PR Rang beim letzten Turnier]]&gt;Open[[#This Row],[PR Rang]],1,IF(Open[[#This Row],[PR Rang beim letzten Turnier]]=Open[[#This Row],[PR Rang]],0,-1))</f>
        <v>0</v>
      </c>
      <c r="C41" s="147">
        <f>RANK(Open[[#This Row],[PR Punkte]],Open[PR Punkte],0)</f>
        <v>35</v>
      </c>
      <c r="D41" s="9" t="s">
        <v>362</v>
      </c>
      <c r="E41" s="11" t="s">
        <v>0</v>
      </c>
      <c r="F41" s="109">
        <f>SUM(Open[[#This Row],[PR 1]:[PR 3]])</f>
        <v>682.3</v>
      </c>
      <c r="G41" s="109">
        <f>LARGE(Open[[#This Row],[TS SH O 22.02.22]:[PR3]],1)</f>
        <v>244.9</v>
      </c>
      <c r="H41" s="109">
        <f>LARGE(Open[[#This Row],[TS SH O 22.02.22]:[PR3]],2)</f>
        <v>229.4</v>
      </c>
      <c r="I41" s="109">
        <f>LARGE(Open[[#This Row],[TS SH O 22.02.22]:[PR3]],3)</f>
        <v>208</v>
      </c>
      <c r="J41" s="11">
        <f>RANK(K41,$K$7:$K$295,0)</f>
        <v>35</v>
      </c>
      <c r="K41" s="109">
        <f>SUM(L41:W41)</f>
        <v>830.3</v>
      </c>
      <c r="L41" s="109" t="str">
        <f>IFERROR(VLOOKUP(Open[[#This Row],[TS SH 22.02.22 Rang]],$AJ$16:$AK$111,2,0)*L$5," ")</f>
        <v xml:space="preserve"> </v>
      </c>
      <c r="M41" s="109" t="str">
        <f>IFERROR(VLOOKUP(Open[[#This Row],[TS SH O 23.04.22 Rang]],$AJ$16:$AK$111,2,0)*M$5," ")</f>
        <v xml:space="preserve"> </v>
      </c>
      <c r="N41" s="109">
        <f>IFERROR(VLOOKUP(Open[[#This Row],[TS LA O 08.05.22 Rang]],$AJ$16:$AK$111,2,0)*N$5," ")</f>
        <v>244.9</v>
      </c>
      <c r="O41" s="109">
        <f>IFERROR(VLOOKUP(Open[[#This Row],[TS SG O 25.05.22 Rang]],$AJ$16:$AK$111,2,0)*O$5," ")</f>
        <v>148</v>
      </c>
      <c r="P41" s="109">
        <f>IFERROR(VLOOKUP(Open[[#This Row],[TS SH O 25.06.22 Rang]],$AJ$16:$AK$111,2,0)*P$5," ")</f>
        <v>229.4</v>
      </c>
      <c r="Q41" s="109" t="str">
        <f>IFERROR(VLOOKUP(Open[[#This Row],[TS ZH O/A 25.06.22 Rang]],$AJ$16:$AK$111,2,0)*Q$5," ")</f>
        <v xml:space="preserve"> </v>
      </c>
      <c r="R41" s="109" t="str">
        <f>IFERROR(VLOOKUP(Open[[#This Row],[TS ZH O/B 25.06.22 Rang]],$AJ$16:$AK$111,2,0)*R$5," ")</f>
        <v xml:space="preserve"> </v>
      </c>
      <c r="S41" s="109">
        <f>IFERROR(VLOOKUP(Open[[#This Row],[SM BE O/A 09.07.22 Rang]],$AJ$16:$AK$111,2,0)*S$5," ")</f>
        <v>208</v>
      </c>
      <c r="T41" s="109" t="str">
        <f>IFERROR(VLOOKUP(Open[[#This Row],[SM BE O/B 09.07.22 Rang]],$AJ$16:$AK$111,2,0)*T$5," ")</f>
        <v xml:space="preserve"> </v>
      </c>
      <c r="U41" s="11">
        <v>0</v>
      </c>
      <c r="V41" s="11">
        <v>0</v>
      </c>
      <c r="W41" s="11">
        <v>0</v>
      </c>
      <c r="X41" s="129"/>
      <c r="Y41" s="191"/>
      <c r="Z41" s="191">
        <v>8</v>
      </c>
      <c r="AA41" s="191">
        <v>9</v>
      </c>
      <c r="AB41" s="191">
        <v>8</v>
      </c>
      <c r="AC41" s="191"/>
      <c r="AD41" s="191"/>
      <c r="AE41" s="191">
        <v>14</v>
      </c>
      <c r="AF41" s="191"/>
      <c r="AG41" s="17"/>
      <c r="AH41" s="17"/>
      <c r="AI41" s="17"/>
      <c r="AJ41" s="155">
        <v>25</v>
      </c>
      <c r="AK41" s="155">
        <v>30</v>
      </c>
      <c r="AL41" s="17"/>
      <c r="AM41" s="17">
        <f t="shared" ca="1" si="0"/>
        <v>9</v>
      </c>
      <c r="AN41" s="17" t="s">
        <v>11</v>
      </c>
      <c r="AO41" s="17">
        <f>COUNTIF(Open[Club],Tabel6487357616771737779[[#This Row],[Club]])</f>
        <v>134</v>
      </c>
      <c r="AP41" s="17">
        <f ca="1">SUMIF(Open[Club],Tabel6487357616771737779[[#This Row],[Club]],$F$7)</f>
        <v>4077.6000000000017</v>
      </c>
      <c r="AQ41" s="17"/>
      <c r="AR41" s="17"/>
      <c r="AS41" s="16"/>
      <c r="AT41" s="16"/>
      <c r="AU41"/>
      <c r="AV41" s="16"/>
      <c r="AW41"/>
      <c r="AX41" s="16"/>
      <c r="AY41" s="16"/>
      <c r="AZ41" s="16"/>
      <c r="BA41" s="16"/>
      <c r="BB41"/>
      <c r="BC41" s="16"/>
      <c r="BD41" s="16"/>
      <c r="BE41" s="16"/>
      <c r="BF41" s="16"/>
      <c r="BG41" s="16"/>
      <c r="BH41" s="16"/>
      <c r="BI41" s="16"/>
    </row>
    <row r="42" spans="1:61" s="4" customFormat="1" x14ac:dyDescent="0.2">
      <c r="A42" s="11">
        <v>39</v>
      </c>
      <c r="B42" s="11">
        <f>IF(Open[[#This Row],[PR Rang beim letzten Turnier]]&gt;Open[[#This Row],[PR Rang]],1,IF(Open[[#This Row],[PR Rang beim letzten Turnier]]=Open[[#This Row],[PR Rang]],0,-1))</f>
        <v>1</v>
      </c>
      <c r="C42" s="147">
        <f>RANK(Open[[#This Row],[PR Punkte]],Open[PR Punkte],0)</f>
        <v>36</v>
      </c>
      <c r="D42" s="266" t="s">
        <v>145</v>
      </c>
      <c r="E42" s="33" t="s">
        <v>12</v>
      </c>
      <c r="F42" s="109">
        <f>SUM(Open[[#This Row],[PR 1]:[PR 3]])</f>
        <v>604.70000000000005</v>
      </c>
      <c r="G42" s="109">
        <f>LARGE(Open[[#This Row],[TS SH O 22.02.22]:[PR3]],1)</f>
        <v>238.70000000000002</v>
      </c>
      <c r="H42" s="109">
        <f>LARGE(Open[[#This Row],[TS SH O 22.02.22]:[PR3]],2)</f>
        <v>208</v>
      </c>
      <c r="I42" s="109">
        <f>LARGE(Open[[#This Row],[TS SH O 22.02.22]:[PR3]],3)</f>
        <v>158</v>
      </c>
      <c r="J42" s="33">
        <f>RANK(K42,$K$7:$K$295,0)</f>
        <v>38</v>
      </c>
      <c r="K42" s="109">
        <f>SUM(L42:W42)</f>
        <v>604.70000000000005</v>
      </c>
      <c r="L42" s="109" t="str">
        <f>IFERROR(VLOOKUP(Open[[#This Row],[TS SH 22.02.22 Rang]],$AJ$16:$AK$111,2,0)*L$5," ")</f>
        <v xml:space="preserve"> </v>
      </c>
      <c r="M42" s="109">
        <f>IFERROR(VLOOKUP(Open[[#This Row],[TS SH O 23.04.22 Rang]],$AJ$16:$AK$111,2,0)*M$5," ")</f>
        <v>238.70000000000002</v>
      </c>
      <c r="N42" s="109">
        <f>IFERROR(VLOOKUP(Open[[#This Row],[TS LA O 08.05.22 Rang]],$AJ$16:$AK$111,2,0)*N$5," ")</f>
        <v>158</v>
      </c>
      <c r="O42" s="109" t="str">
        <f>IFERROR(VLOOKUP(Open[[#This Row],[TS SG O 25.05.22 Rang]],$AJ$16:$AK$111,2,0)*O$5," ")</f>
        <v xml:space="preserve"> </v>
      </c>
      <c r="P42" s="109" t="str">
        <f>IFERROR(VLOOKUP(Open[[#This Row],[TS SH O 25.06.22 Rang]],$AJ$16:$AK$111,2,0)*P$5," ")</f>
        <v xml:space="preserve"> </v>
      </c>
      <c r="Q42" s="109" t="str">
        <f>IFERROR(VLOOKUP(Open[[#This Row],[TS ZH O/A 25.06.22 Rang]],$AJ$16:$AK$111,2,0)*Q$5," ")</f>
        <v xml:space="preserve"> </v>
      </c>
      <c r="R42" s="109" t="str">
        <f>IFERROR(VLOOKUP(Open[[#This Row],[TS ZH O/B 25.06.22 Rang]],$AJ$16:$AK$111,2,0)*R$5," ")</f>
        <v xml:space="preserve"> </v>
      </c>
      <c r="S42" s="109">
        <f>IFERROR(VLOOKUP(Open[[#This Row],[SM BE O/A 09.07.22 Rang]],$AJ$16:$AK$111,2,0)*S$5," ")</f>
        <v>208</v>
      </c>
      <c r="T42" s="109" t="str">
        <f>IFERROR(VLOOKUP(Open[[#This Row],[SM BE O/B 09.07.22 Rang]],$AJ$16:$AK$111,2,0)*T$5," ")</f>
        <v xml:space="preserve"> </v>
      </c>
      <c r="U42" s="11">
        <v>0</v>
      </c>
      <c r="V42" s="11">
        <v>0</v>
      </c>
      <c r="W42" s="11">
        <v>0</v>
      </c>
      <c r="X42" s="129"/>
      <c r="Y42" s="191">
        <v>8</v>
      </c>
      <c r="Z42" s="191">
        <v>13</v>
      </c>
      <c r="AA42" s="191"/>
      <c r="AB42" s="191"/>
      <c r="AC42" s="191"/>
      <c r="AD42" s="191"/>
      <c r="AE42" s="191">
        <v>9</v>
      </c>
      <c r="AF42" s="191"/>
      <c r="AG42" s="17"/>
      <c r="AH42" s="17"/>
      <c r="AI42" s="17"/>
      <c r="AJ42" s="155">
        <v>26</v>
      </c>
      <c r="AK42" s="155">
        <v>30</v>
      </c>
      <c r="AL42" s="17"/>
      <c r="AM42" s="17">
        <f t="shared" ca="1" si="0"/>
        <v>6</v>
      </c>
      <c r="AN42" s="17" t="s">
        <v>16</v>
      </c>
      <c r="AO42" s="17">
        <f>COUNTIF(Open[Club],Tabel6487357616771737779[[#This Row],[Club]])</f>
        <v>11</v>
      </c>
      <c r="AP42" s="17">
        <f ca="1">SUMIF(Open[Club],Tabel6487357616771737779[[#This Row],[Club]],$F$7)</f>
        <v>6503.5999999999995</v>
      </c>
      <c r="AQ42" s="17"/>
      <c r="AR42" s="17"/>
      <c r="AS42" s="16"/>
      <c r="AT42" s="16"/>
      <c r="AU42"/>
      <c r="AV42" s="16"/>
      <c r="AW42"/>
      <c r="AX42" s="16"/>
      <c r="AY42" s="16"/>
      <c r="AZ42" s="16"/>
      <c r="BA42" s="16"/>
      <c r="BB42"/>
      <c r="BC42" s="16"/>
      <c r="BD42" s="16"/>
      <c r="BE42" s="16"/>
      <c r="BF42" s="16"/>
      <c r="BG42" s="16"/>
      <c r="BH42" s="16"/>
      <c r="BI42" s="16"/>
    </row>
    <row r="43" spans="1:61" s="4" customFormat="1" x14ac:dyDescent="0.2">
      <c r="A43" s="17">
        <v>36</v>
      </c>
      <c r="B43" s="17">
        <f>IF(Open[[#This Row],[PR Rang beim letzten Turnier]]&gt;Open[[#This Row],[PR Rang]],1,IF(Open[[#This Row],[PR Rang beim letzten Turnier]]=Open[[#This Row],[PR Rang]],0,-1))</f>
        <v>-1</v>
      </c>
      <c r="C43" s="112">
        <f>RANK(Open[[#This Row],[PR Punkte]],Open[PR Punkte],0)</f>
        <v>37</v>
      </c>
      <c r="D43" s="17" t="s">
        <v>56</v>
      </c>
      <c r="E43" s="9" t="s">
        <v>10</v>
      </c>
      <c r="F43" s="109">
        <f>SUM(Open[[#This Row],[PR 1]:[PR 3]])</f>
        <v>581.69999999999993</v>
      </c>
      <c r="G43" s="109">
        <f>LARGE(Open[[#This Row],[TS SH O 22.02.22]:[PR3]],1)</f>
        <v>377.3</v>
      </c>
      <c r="H43" s="109">
        <f>LARGE(Open[[#This Row],[TS SH O 22.02.22]:[PR3]],2)</f>
        <v>142</v>
      </c>
      <c r="I43" s="109">
        <f>LARGE(Open[[#This Row],[TS SH O 22.02.22]:[PR3]],3)</f>
        <v>62.400000000000006</v>
      </c>
      <c r="J43" s="9">
        <f>RANK(K43,$K$7:$K$295,0)</f>
        <v>39</v>
      </c>
      <c r="K43" s="109">
        <f>SUM(L43:W43)</f>
        <v>581.69999999999993</v>
      </c>
      <c r="L43" s="109" t="str">
        <f>IFERROR(VLOOKUP(Open[[#This Row],[TS SH 22.02.22 Rang]],$AJ$16:$AK$111,2,0)*L$5," ")</f>
        <v xml:space="preserve"> </v>
      </c>
      <c r="M43" s="109">
        <f>IFERROR(VLOOKUP(Open[[#This Row],[TS SH O 23.04.22 Rang]],$AJ$16:$AK$111,2,0)*M$5," ")</f>
        <v>377.3</v>
      </c>
      <c r="N43" s="109" t="str">
        <f>IFERROR(VLOOKUP(Open[[#This Row],[TS LA O 08.05.22 Rang]],$AJ$16:$AK$111,2,0)*N$5," ")</f>
        <v xml:space="preserve"> </v>
      </c>
      <c r="O43" s="109" t="str">
        <f>IFERROR(VLOOKUP(Open[[#This Row],[TS SG O 25.05.22 Rang]],$AJ$16:$AK$111,2,0)*O$5," ")</f>
        <v xml:space="preserve"> </v>
      </c>
      <c r="P43" s="109" t="str">
        <f>IFERROR(VLOOKUP(Open[[#This Row],[TS SH O 25.06.22 Rang]],$AJ$16:$AK$111,2,0)*P$5," ")</f>
        <v xml:space="preserve"> </v>
      </c>
      <c r="Q43" s="109">
        <f>IFERROR(VLOOKUP(Open[[#This Row],[TS ZH O/A 25.06.22 Rang]],$AJ$16:$AK$111,2,0)*Q$5," ")</f>
        <v>142</v>
      </c>
      <c r="R43" s="109" t="str">
        <f>IFERROR(VLOOKUP(Open[[#This Row],[TS ZH O/B 25.06.22 Rang]],$AJ$16:$AK$111,2,0)*R$5," ")</f>
        <v xml:space="preserve"> </v>
      </c>
      <c r="S43" s="109">
        <f>IFERROR(VLOOKUP(Open[[#This Row],[SM BE O/A 09.07.22 Rang]],$AJ$16:$AK$111,2,0)*S$5," ")</f>
        <v>62.400000000000006</v>
      </c>
      <c r="T43" s="109" t="str">
        <f>IFERROR(VLOOKUP(Open[[#This Row],[SM BE O/B 09.07.22 Rang]],$AJ$16:$AK$111,2,0)*T$5," ")</f>
        <v xml:space="preserve"> </v>
      </c>
      <c r="U43" s="11">
        <v>0</v>
      </c>
      <c r="V43" s="11">
        <v>0</v>
      </c>
      <c r="W43" s="11">
        <v>0</v>
      </c>
      <c r="X43" s="129"/>
      <c r="Y43" s="202">
        <v>6</v>
      </c>
      <c r="Z43" s="191"/>
      <c r="AA43" s="191"/>
      <c r="AB43" s="191"/>
      <c r="AC43" s="203">
        <v>9</v>
      </c>
      <c r="AD43" s="191"/>
      <c r="AE43" s="203">
        <v>18</v>
      </c>
      <c r="AF43" s="191"/>
      <c r="AG43" s="17"/>
      <c r="AH43" s="17"/>
      <c r="AI43" s="17"/>
      <c r="AJ43" s="155">
        <v>27</v>
      </c>
      <c r="AK43" s="155">
        <v>30</v>
      </c>
      <c r="AL43" s="17"/>
      <c r="AM43" s="17">
        <f t="shared" ca="1" si="0"/>
        <v>8</v>
      </c>
      <c r="AN43" s="17" t="s">
        <v>8</v>
      </c>
      <c r="AO43" s="17">
        <f>COUNTIF(Open[Club],Tabel6487357616771737779[[#This Row],[Club]])</f>
        <v>27</v>
      </c>
      <c r="AP43" s="17">
        <f ca="1">SUMIF(Open[Club],Tabel6487357616771737779[[#This Row],[Club]],$F$7)</f>
        <v>4130.0999999999995</v>
      </c>
      <c r="AQ43" s="17"/>
      <c r="AR43" s="17"/>
      <c r="AS43" s="16"/>
      <c r="AT43" s="16"/>
      <c r="AV43" s="16"/>
      <c r="AW43"/>
      <c r="AX43" s="16"/>
      <c r="AY43" s="16"/>
      <c r="AZ43" s="16"/>
      <c r="BA43" s="16"/>
      <c r="BB43"/>
      <c r="BC43" s="16"/>
      <c r="BD43" s="16"/>
      <c r="BE43" s="16"/>
      <c r="BF43" s="16"/>
      <c r="BG43" s="16"/>
      <c r="BH43" s="16"/>
      <c r="BI43" s="16"/>
    </row>
    <row r="44" spans="1:61" s="4" customFormat="1" x14ac:dyDescent="0.2">
      <c r="A44" s="11">
        <v>37</v>
      </c>
      <c r="B44" s="11">
        <f>IF(Open[[#This Row],[PR Rang beim letzten Turnier]]&gt;Open[[#This Row],[PR Rang]],1,IF(Open[[#This Row],[PR Rang beim letzten Turnier]]=Open[[#This Row],[PR Rang]],0,-1))</f>
        <v>-1</v>
      </c>
      <c r="C44" s="112">
        <f>RANK(Open[[#This Row],[PR Punkte]],Open[PR Punkte],0)</f>
        <v>38</v>
      </c>
      <c r="D44" s="227" t="s">
        <v>148</v>
      </c>
      <c r="E44" s="9" t="s">
        <v>0</v>
      </c>
      <c r="F44" s="109">
        <f>SUM(Open[[#This Row],[PR 1]:[PR 3]])</f>
        <v>560</v>
      </c>
      <c r="G44" s="109">
        <f>LARGE(Open[[#This Row],[TS SH O 22.02.22]:[PR3]],1)</f>
        <v>208</v>
      </c>
      <c r="H44" s="109">
        <f>LARGE(Open[[#This Row],[TS SH O 22.02.22]:[PR3]],2)</f>
        <v>194</v>
      </c>
      <c r="I44" s="109">
        <f>LARGE(Open[[#This Row],[TS SH O 22.02.22]:[PR3]],3)</f>
        <v>158</v>
      </c>
      <c r="J44" s="9">
        <f>RANK(K44,$K$7:$K$295,0)</f>
        <v>34</v>
      </c>
      <c r="K44" s="109">
        <f>SUM(L44:W44)</f>
        <v>856</v>
      </c>
      <c r="L44" s="109">
        <f>IFERROR(VLOOKUP(Open[[#This Row],[TS SH 22.02.22 Rang]],$AJ$16:$AK$111,2,0)*L$5," ")</f>
        <v>194</v>
      </c>
      <c r="M44" s="109" t="str">
        <f>IFERROR(VLOOKUP(Open[[#This Row],[TS SH O 23.04.22 Rang]],$AJ$16:$AK$111,2,0)*M$5," ")</f>
        <v xml:space="preserve"> </v>
      </c>
      <c r="N44" s="109">
        <f>IFERROR(VLOOKUP(Open[[#This Row],[TS LA O 08.05.22 Rang]],$AJ$16:$AK$111,2,0)*N$5," ")</f>
        <v>158</v>
      </c>
      <c r="O44" s="109">
        <f>IFERROR(VLOOKUP(Open[[#This Row],[TS SG O 25.05.22 Rang]],$AJ$16:$AK$111,2,0)*O$5," ")</f>
        <v>148</v>
      </c>
      <c r="P44" s="109">
        <f>IFERROR(VLOOKUP(Open[[#This Row],[TS SH O 25.06.22 Rang]],$AJ$16:$AK$111,2,0)*P$5," ")</f>
        <v>148</v>
      </c>
      <c r="Q44" s="109" t="str">
        <f>IFERROR(VLOOKUP(Open[[#This Row],[TS ZH O/A 25.06.22 Rang]],$AJ$16:$AK$111,2,0)*Q$5," ")</f>
        <v xml:space="preserve"> </v>
      </c>
      <c r="R44" s="109" t="str">
        <f>IFERROR(VLOOKUP(Open[[#This Row],[TS ZH O/B 25.06.22 Rang]],$AJ$16:$AK$111,2,0)*R$5," ")</f>
        <v xml:space="preserve"> </v>
      </c>
      <c r="S44" s="109">
        <f>IFERROR(VLOOKUP(Open[[#This Row],[SM BE O/A 09.07.22 Rang]],$AJ$16:$AK$111,2,0)*S$5," ")</f>
        <v>208</v>
      </c>
      <c r="T44" s="109" t="str">
        <f>IFERROR(VLOOKUP(Open[[#This Row],[SM BE O/B 09.07.22 Rang]],$AJ$16:$AK$111,2,0)*T$5," ")</f>
        <v xml:space="preserve"> </v>
      </c>
      <c r="U44" s="11">
        <v>0</v>
      </c>
      <c r="V44" s="11">
        <v>0</v>
      </c>
      <c r="W44" s="11">
        <v>0</v>
      </c>
      <c r="X44" s="62">
        <v>10</v>
      </c>
      <c r="Y44" s="191"/>
      <c r="Z44" s="191">
        <v>16</v>
      </c>
      <c r="AA44" s="191">
        <v>11</v>
      </c>
      <c r="AB44" s="201">
        <v>10</v>
      </c>
      <c r="AC44" s="191"/>
      <c r="AD44" s="191"/>
      <c r="AE44" s="191">
        <v>13</v>
      </c>
      <c r="AF44" s="191"/>
      <c r="AG44" s="17"/>
      <c r="AH44" s="17"/>
      <c r="AI44" s="17"/>
      <c r="AJ44" s="155">
        <v>28</v>
      </c>
      <c r="AK44" s="155">
        <v>30</v>
      </c>
      <c r="AL44" s="17"/>
      <c r="AM44" s="17">
        <f t="shared" ca="1" si="0"/>
        <v>4</v>
      </c>
      <c r="AN44" s="17" t="s">
        <v>13</v>
      </c>
      <c r="AO44" s="17">
        <f>COUNTIF(Open[Club],Tabel6487357616771737779[[#This Row],[Club]])</f>
        <v>15</v>
      </c>
      <c r="AP44" s="17">
        <f ca="1">SUMIF(Open[Club],Tabel6487357616771737779[[#This Row],[Club]],$F$7)</f>
        <v>8638.4</v>
      </c>
      <c r="AQ44" s="17"/>
      <c r="AR44" s="17"/>
      <c r="AS44" s="16"/>
      <c r="AT44" s="16"/>
      <c r="AU44" s="16"/>
      <c r="AV44" s="16"/>
      <c r="AW44"/>
      <c r="AX44" s="16"/>
      <c r="AY44" s="16"/>
      <c r="AZ44" s="16"/>
      <c r="BA44" s="16"/>
      <c r="BB44"/>
      <c r="BC44" s="16"/>
      <c r="BD44" s="16"/>
      <c r="BE44" s="16"/>
      <c r="BF44" s="16"/>
      <c r="BG44" s="16"/>
      <c r="BH44" s="16"/>
      <c r="BI44" s="16"/>
    </row>
    <row r="45" spans="1:61" s="4" customFormat="1" x14ac:dyDescent="0.2">
      <c r="A45" s="11">
        <v>41</v>
      </c>
      <c r="B45" s="11">
        <f>IF(Open[[#This Row],[PR Rang beim letzten Turnier]]&gt;Open[[#This Row],[PR Rang]],1,IF(Open[[#This Row],[PR Rang beim letzten Turnier]]=Open[[#This Row],[PR Rang]],0,-1))</f>
        <v>1</v>
      </c>
      <c r="C45" s="147">
        <f>RANK(Open[[#This Row],[PR Punkte]],Open[PR Punkte],0)</f>
        <v>39</v>
      </c>
      <c r="D45" s="9" t="s">
        <v>425</v>
      </c>
      <c r="E45" s="9" t="s">
        <v>16</v>
      </c>
      <c r="F45" s="109">
        <f>SUM(Open[[#This Row],[PR 1]:[PR 3]])</f>
        <v>508</v>
      </c>
      <c r="G45" s="109">
        <f>LARGE(Open[[#This Row],[TS SH O 22.02.22]:[PR3]],1)</f>
        <v>208</v>
      </c>
      <c r="H45" s="109">
        <f>LARGE(Open[[#This Row],[TS SH O 22.02.22]:[PR3]],2)</f>
        <v>158</v>
      </c>
      <c r="I45" s="109">
        <f>LARGE(Open[[#This Row],[TS SH O 22.02.22]:[PR3]],3)</f>
        <v>142</v>
      </c>
      <c r="J45" s="9">
        <f>RANK(K45,$K$7:$K$295,0)</f>
        <v>37</v>
      </c>
      <c r="K45" s="109">
        <f>SUM(L45:W45)</f>
        <v>656.8</v>
      </c>
      <c r="L45" s="109">
        <f>IFERROR(VLOOKUP(Open[[#This Row],[TS SH 22.02.22 Rang]],$AJ$16:$AK$111,2,0)*L$5," ")</f>
        <v>58.199999999999996</v>
      </c>
      <c r="M45" s="109">
        <f>IFERROR(VLOOKUP(Open[[#This Row],[TS SH O 23.04.22 Rang]],$AJ$16:$AK$111,2,0)*M$5," ")</f>
        <v>46.2</v>
      </c>
      <c r="N45" s="109">
        <f>IFERROR(VLOOKUP(Open[[#This Row],[TS LA O 08.05.22 Rang]],$AJ$16:$AK$111,2,0)*N$5," ")</f>
        <v>158</v>
      </c>
      <c r="O45" s="109" t="str">
        <f>IFERROR(VLOOKUP(Open[[#This Row],[TS SG O 25.05.22 Rang]],$AJ$16:$AK$111,2,0)*O$5," ")</f>
        <v xml:space="preserve"> </v>
      </c>
      <c r="P45" s="109">
        <f>IFERROR(VLOOKUP(Open[[#This Row],[TS SH O 25.06.22 Rang]],$AJ$16:$AK$111,2,0)*P$5," ")</f>
        <v>44.4</v>
      </c>
      <c r="Q45" s="109">
        <f>IFERROR(VLOOKUP(Open[[#This Row],[TS ZH O/A 25.06.22 Rang]],$AJ$16:$AK$111,2,0)*Q$5," ")</f>
        <v>142</v>
      </c>
      <c r="R45" s="109" t="str">
        <f>IFERROR(VLOOKUP(Open[[#This Row],[TS ZH O/B 25.06.22 Rang]],$AJ$16:$AK$111,2,0)*R$5," ")</f>
        <v xml:space="preserve"> </v>
      </c>
      <c r="S45" s="109">
        <f>IFERROR(VLOOKUP(Open[[#This Row],[SM BE O/A 09.07.22 Rang]],$AJ$16:$AK$111,2,0)*S$5," ")</f>
        <v>208</v>
      </c>
      <c r="T45" s="109" t="str">
        <f>IFERROR(VLOOKUP(Open[[#This Row],[SM BE O/B 09.07.22 Rang]],$AJ$16:$AK$111,2,0)*T$5," ")</f>
        <v xml:space="preserve"> </v>
      </c>
      <c r="U45" s="11">
        <v>0</v>
      </c>
      <c r="V45" s="11">
        <v>0</v>
      </c>
      <c r="W45" s="11">
        <v>0</v>
      </c>
      <c r="X45" s="129">
        <v>23</v>
      </c>
      <c r="Y45" s="191">
        <v>17</v>
      </c>
      <c r="Z45" s="191">
        <v>12</v>
      </c>
      <c r="AA45" s="191"/>
      <c r="AB45" s="191">
        <v>21</v>
      </c>
      <c r="AC45" s="191">
        <v>10</v>
      </c>
      <c r="AD45" s="191"/>
      <c r="AE45" s="191">
        <v>12</v>
      </c>
      <c r="AF45" s="191"/>
      <c r="AG45" s="17"/>
      <c r="AH45" s="17"/>
      <c r="AI45" s="17"/>
      <c r="AJ45" s="155">
        <v>29</v>
      </c>
      <c r="AK45" s="155">
        <v>30</v>
      </c>
      <c r="AL45" s="17"/>
      <c r="AM45" s="17">
        <f t="shared" ca="1" si="0"/>
        <v>10</v>
      </c>
      <c r="AN45" s="17" t="s">
        <v>12</v>
      </c>
      <c r="AO45" s="17">
        <f>COUNTIF(Open[Club],Tabel6487357616771737779[[#This Row],[Club]])</f>
        <v>7</v>
      </c>
      <c r="AP45" s="17">
        <f ca="1">SUMIF(Open[Club],Tabel6487357616771737779[[#This Row],[Club]],$F$7)</f>
        <v>1486.6000000000001</v>
      </c>
      <c r="AQ45" s="17"/>
      <c r="AR45" s="17"/>
      <c r="AS45" s="16"/>
      <c r="AT45" s="16"/>
      <c r="AU45" s="16"/>
      <c r="AV45" s="16"/>
      <c r="AW45"/>
      <c r="AX45" s="16"/>
      <c r="AY45" s="16"/>
      <c r="AZ45" s="16"/>
      <c r="BA45" s="16"/>
      <c r="BB45"/>
      <c r="BC45" s="16"/>
      <c r="BD45" s="16"/>
      <c r="BE45" s="16"/>
      <c r="BF45" s="16"/>
      <c r="BG45" s="16"/>
      <c r="BH45" s="16"/>
      <c r="BI45" s="16"/>
    </row>
    <row r="46" spans="1:61" s="4" customFormat="1" x14ac:dyDescent="0.2">
      <c r="A46" s="11">
        <v>54</v>
      </c>
      <c r="B46" s="11">
        <f>IF(Open[[#This Row],[PR Rang beim letzten Turnier]]&gt;Open[[#This Row],[PR Rang]],1,IF(Open[[#This Row],[PR Rang beim letzten Turnier]]=Open[[#This Row],[PR Rang]],0,-1))</f>
        <v>1</v>
      </c>
      <c r="C46" s="147">
        <f>RANK(Open[[#This Row],[PR Punkte]],Open[PR Punkte],0)</f>
        <v>40</v>
      </c>
      <c r="D46" s="25" t="s">
        <v>237</v>
      </c>
      <c r="E46" s="11" t="s">
        <v>0</v>
      </c>
      <c r="F46" s="109">
        <f>SUM(Open[[#This Row],[PR 1]:[PR 3]])</f>
        <v>504</v>
      </c>
      <c r="G46" s="109">
        <f>LARGE(Open[[#This Row],[TS SH O 22.02.22]:[PR3]],1)</f>
        <v>208</v>
      </c>
      <c r="H46" s="109">
        <f>LARGE(Open[[#This Row],[TS SH O 22.02.22]:[PR3]],2)</f>
        <v>148</v>
      </c>
      <c r="I46" s="109">
        <f>LARGE(Open[[#This Row],[TS SH O 22.02.22]:[PR3]],3)</f>
        <v>148</v>
      </c>
      <c r="J46" s="31">
        <f>RANK(K46,$K$7:$K$295,0)</f>
        <v>40</v>
      </c>
      <c r="K46" s="109">
        <f>SUM(L46:W46)</f>
        <v>504</v>
      </c>
      <c r="L46" s="109" t="str">
        <f>IFERROR(VLOOKUP(Open[[#This Row],[TS SH 22.02.22 Rang]],$AJ$16:$AK$111,2,0)*L$5," ")</f>
        <v xml:space="preserve"> </v>
      </c>
      <c r="M46" s="109" t="str">
        <f>IFERROR(VLOOKUP(Open[[#This Row],[TS SH O 23.04.22 Rang]],$AJ$16:$AK$111,2,0)*M$5," ")</f>
        <v xml:space="preserve"> </v>
      </c>
      <c r="N46" s="109" t="str">
        <f>IFERROR(VLOOKUP(Open[[#This Row],[TS LA O 08.05.22 Rang]],$AJ$16:$AK$111,2,0)*N$5," ")</f>
        <v xml:space="preserve"> </v>
      </c>
      <c r="O46" s="109">
        <f>IFERROR(VLOOKUP(Open[[#This Row],[TS SG O 25.05.22 Rang]],$AJ$16:$AK$111,2,0)*O$5," ")</f>
        <v>148</v>
      </c>
      <c r="P46" s="109">
        <f>IFERROR(VLOOKUP(Open[[#This Row],[TS SH O 25.06.22 Rang]],$AJ$16:$AK$111,2,0)*P$5," ")</f>
        <v>148</v>
      </c>
      <c r="Q46" s="109" t="str">
        <f>IFERROR(VLOOKUP(Open[[#This Row],[TS ZH O/A 25.06.22 Rang]],$AJ$16:$AK$111,2,0)*Q$5," ")</f>
        <v xml:space="preserve"> </v>
      </c>
      <c r="R46" s="109" t="str">
        <f>IFERROR(VLOOKUP(Open[[#This Row],[TS ZH O/B 25.06.22 Rang]],$AJ$16:$AK$111,2,0)*R$5," ")</f>
        <v xml:space="preserve"> </v>
      </c>
      <c r="S46" s="109">
        <f>IFERROR(VLOOKUP(Open[[#This Row],[SM BE O/A 09.07.22 Rang]],$AJ$16:$AK$111,2,0)*S$5," ")</f>
        <v>208</v>
      </c>
      <c r="T46" s="109" t="str">
        <f>IFERROR(VLOOKUP(Open[[#This Row],[SM BE O/B 09.07.22 Rang]],$AJ$16:$AK$111,2,0)*T$5," ")</f>
        <v xml:space="preserve"> </v>
      </c>
      <c r="U46" s="11">
        <v>0</v>
      </c>
      <c r="V46" s="11">
        <v>0</v>
      </c>
      <c r="W46" s="11">
        <v>0</v>
      </c>
      <c r="X46" s="129"/>
      <c r="Y46" s="191"/>
      <c r="Z46" s="191"/>
      <c r="AA46" s="191">
        <v>9</v>
      </c>
      <c r="AB46" s="191">
        <v>12</v>
      </c>
      <c r="AC46" s="191"/>
      <c r="AD46" s="191"/>
      <c r="AE46" s="191">
        <v>14</v>
      </c>
      <c r="AF46" s="191"/>
      <c r="AG46" s="17"/>
      <c r="AH46" s="17"/>
      <c r="AI46" s="17"/>
      <c r="AJ46" s="155">
        <v>30</v>
      </c>
      <c r="AK46" s="155">
        <v>30</v>
      </c>
      <c r="AL46" s="17"/>
      <c r="AM46" s="17">
        <f t="shared" ca="1" si="0"/>
        <v>12</v>
      </c>
      <c r="AN46" s="17" t="s">
        <v>9</v>
      </c>
      <c r="AO46" s="17">
        <f>COUNTIF(Open[Club],Tabel6487357616771737779[[#This Row],[Club]])</f>
        <v>8</v>
      </c>
      <c r="AP46" s="17">
        <f ca="1">SUMIF(Open[Club],Tabel6487357616771737779[[#This Row],[Club]],$F$7)</f>
        <v>124.80000000000001</v>
      </c>
      <c r="AQ46" s="17"/>
      <c r="AR46" s="17"/>
      <c r="AS46" s="16"/>
      <c r="AT46" s="16"/>
      <c r="AU46" s="16"/>
      <c r="AV46" s="16"/>
      <c r="AW46"/>
      <c r="AX46" s="16"/>
      <c r="AY46" s="16"/>
      <c r="AZ46" s="16"/>
      <c r="BA46" s="16"/>
      <c r="BC46" s="16"/>
      <c r="BD46" s="16"/>
      <c r="BE46" s="16"/>
      <c r="BF46" s="16"/>
      <c r="BG46" s="16"/>
      <c r="BH46" s="16"/>
      <c r="BI46" s="16"/>
    </row>
    <row r="47" spans="1:61" s="4" customFormat="1" x14ac:dyDescent="0.2">
      <c r="A47" s="17">
        <v>56</v>
      </c>
      <c r="B47" s="17">
        <f>IF(Open[[#This Row],[PR Rang beim letzten Turnier]]&gt;Open[[#This Row],[PR Rang]],1,IF(Open[[#This Row],[PR Rang beim letzten Turnier]]=Open[[#This Row],[PR Rang]],0,-1))</f>
        <v>1</v>
      </c>
      <c r="C47" s="112">
        <f>RANK(Open[[#This Row],[PR Punkte]],Open[PR Punkte],0)</f>
        <v>41</v>
      </c>
      <c r="D47" s="222" t="s">
        <v>133</v>
      </c>
      <c r="E47" s="11" t="s">
        <v>0</v>
      </c>
      <c r="F47" s="109">
        <f>SUM(Open[[#This Row],[PR 1]:[PR 3]])</f>
        <v>492</v>
      </c>
      <c r="G47" s="109">
        <f>LARGE(Open[[#This Row],[TS SH O 22.02.22]:[PR3]],1)</f>
        <v>208</v>
      </c>
      <c r="H47" s="109">
        <f>LARGE(Open[[#This Row],[TS SH O 22.02.22]:[PR3]],2)</f>
        <v>194</v>
      </c>
      <c r="I47" s="109">
        <f>LARGE(Open[[#This Row],[TS SH O 22.02.22]:[PR3]],3)</f>
        <v>90</v>
      </c>
      <c r="J47" s="11">
        <f>RANK(K47,$K$7:$K$295,0)</f>
        <v>41</v>
      </c>
      <c r="K47" s="109">
        <f>SUM(L47:W47)</f>
        <v>492</v>
      </c>
      <c r="L47" s="109">
        <f>IFERROR(VLOOKUP(Open[[#This Row],[TS SH 22.02.22 Rang]],$AJ$16:$AK$111,2,0)*L$5," ")</f>
        <v>194</v>
      </c>
      <c r="M47" s="109" t="str">
        <f>IFERROR(VLOOKUP(Open[[#This Row],[TS SH O 23.04.22 Rang]],$AJ$16:$AK$111,2,0)*M$5," ")</f>
        <v xml:space="preserve"> </v>
      </c>
      <c r="N47" s="109" t="str">
        <f>IFERROR(VLOOKUP(Open[[#This Row],[TS LA O 08.05.22 Rang]],$AJ$16:$AK$111,2,0)*N$5," ")</f>
        <v xml:space="preserve"> </v>
      </c>
      <c r="O47" s="109" t="str">
        <f>IFERROR(VLOOKUP(Open[[#This Row],[TS SG O 25.05.22 Rang]],$AJ$16:$AK$111,2,0)*O$5," ")</f>
        <v xml:space="preserve"> </v>
      </c>
      <c r="P47" s="109" t="str">
        <f>IFERROR(VLOOKUP(Open[[#This Row],[TS SH O 25.06.22 Rang]],$AJ$16:$AK$111,2,0)*P$5," ")</f>
        <v xml:space="preserve"> </v>
      </c>
      <c r="Q47" s="109" t="str">
        <f>IFERROR(VLOOKUP(Open[[#This Row],[TS ZH O/A 25.06.22 Rang]],$AJ$16:$AK$111,2,0)*Q$5," ")</f>
        <v xml:space="preserve"> </v>
      </c>
      <c r="R47" s="109">
        <f>IFERROR(VLOOKUP(Open[[#This Row],[TS ZH O/B 25.06.22 Rang]],$AJ$16:$AK$111,2,0)*R$5," ")</f>
        <v>90</v>
      </c>
      <c r="S47" s="109">
        <f>IFERROR(VLOOKUP(Open[[#This Row],[SM BE O/A 09.07.22 Rang]],$AJ$16:$AK$111,2,0)*S$5," ")</f>
        <v>208</v>
      </c>
      <c r="T47" s="109" t="str">
        <f>IFERROR(VLOOKUP(Open[[#This Row],[SM BE O/B 09.07.22 Rang]],$AJ$16:$AK$111,2,0)*T$5," ")</f>
        <v xml:space="preserve"> </v>
      </c>
      <c r="U47" s="11">
        <v>0</v>
      </c>
      <c r="V47" s="11">
        <v>0</v>
      </c>
      <c r="W47" s="11">
        <v>0</v>
      </c>
      <c r="X47" s="62">
        <v>10</v>
      </c>
      <c r="Y47" s="191"/>
      <c r="Z47" s="191"/>
      <c r="AA47" s="191"/>
      <c r="AB47" s="191"/>
      <c r="AC47" s="191"/>
      <c r="AD47" s="201">
        <v>2</v>
      </c>
      <c r="AE47" s="201">
        <v>13</v>
      </c>
      <c r="AF47" s="191"/>
      <c r="AG47" s="17"/>
      <c r="AH47" s="17"/>
      <c r="AI47" s="17"/>
      <c r="AJ47" s="155">
        <v>31</v>
      </c>
      <c r="AK47" s="155">
        <v>30</v>
      </c>
      <c r="AL47" s="17"/>
      <c r="AM47" s="17">
        <f t="shared" ca="1" si="0"/>
        <v>13</v>
      </c>
      <c r="AN47" s="17" t="s">
        <v>14</v>
      </c>
      <c r="AO47" s="17">
        <f>COUNTIF(Open[Club],Tabel6487357616771737779[[#This Row],[Club]])</f>
        <v>8</v>
      </c>
      <c r="AP47" s="17">
        <f ca="1">SUMIF(Open[Club],Tabel6487357616771737779[[#This Row],[Club]],$F$7)</f>
        <v>47.400000000000006</v>
      </c>
      <c r="AQ47" s="17"/>
      <c r="AR47" s="17"/>
      <c r="AS47" s="16"/>
      <c r="AT47" s="16"/>
      <c r="AU47" s="16"/>
      <c r="AV47" s="16"/>
      <c r="AW47"/>
      <c r="AX47" s="16"/>
      <c r="AY47" s="16"/>
      <c r="AZ47" s="16"/>
      <c r="BA47" s="16"/>
      <c r="BC47" s="16"/>
      <c r="BD47" s="16"/>
      <c r="BE47" s="16"/>
      <c r="BF47" s="16"/>
      <c r="BG47" s="16"/>
      <c r="BH47" s="16"/>
      <c r="BI47" s="16"/>
    </row>
    <row r="48" spans="1:61" s="4" customFormat="1" x14ac:dyDescent="0.2">
      <c r="A48" s="17">
        <v>60</v>
      </c>
      <c r="B48" s="17">
        <f>IF(Open[[#This Row],[PR Rang beim letzten Turnier]]&gt;Open[[#This Row],[PR Rang]],1,IF(Open[[#This Row],[PR Rang beim letzten Turnier]]=Open[[#This Row],[PR Rang]],0,-1))</f>
        <v>1</v>
      </c>
      <c r="C48" s="112">
        <f>RANK(Open[[#This Row],[PR Punkte]],Open[PR Punkte],0)</f>
        <v>42</v>
      </c>
      <c r="D48" s="43" t="s">
        <v>142</v>
      </c>
      <c r="E48" s="13" t="s">
        <v>0</v>
      </c>
      <c r="F48" s="109">
        <f>SUM(Open[[#This Row],[PR 1]:[PR 3]])</f>
        <v>452.9</v>
      </c>
      <c r="G48" s="109">
        <f>LARGE(Open[[#This Row],[TS SH O 22.02.22]:[PR3]],1)</f>
        <v>244.9</v>
      </c>
      <c r="H48" s="109">
        <f>LARGE(Open[[#This Row],[TS SH O 22.02.22]:[PR3]],2)</f>
        <v>208</v>
      </c>
      <c r="I48" s="109">
        <f>LARGE(Open[[#This Row],[TS SH O 22.02.22]:[PR3]],3)</f>
        <v>0</v>
      </c>
      <c r="J48" s="13">
        <f>RANK(K48,$K$7:$K$295,0)</f>
        <v>43</v>
      </c>
      <c r="K48" s="109">
        <f>SUM(L48:W48)</f>
        <v>452.9</v>
      </c>
      <c r="L48" s="109" t="str">
        <f>IFERROR(VLOOKUP(Open[[#This Row],[TS SH 22.02.22 Rang]],$AJ$16:$AK$111,2,0)*L$5," ")</f>
        <v xml:space="preserve"> </v>
      </c>
      <c r="M48" s="109" t="str">
        <f>IFERROR(VLOOKUP(Open[[#This Row],[TS SH O 23.04.22 Rang]],$AJ$16:$AK$111,2,0)*M$5," ")</f>
        <v xml:space="preserve"> </v>
      </c>
      <c r="N48" s="109">
        <f>IFERROR(VLOOKUP(Open[[#This Row],[TS LA O 08.05.22 Rang]],$AJ$16:$AK$111,2,0)*N$5," ")</f>
        <v>244.9</v>
      </c>
      <c r="O48" s="109" t="str">
        <f>IFERROR(VLOOKUP(Open[[#This Row],[TS SG O 25.05.22 Rang]],$AJ$16:$AK$111,2,0)*O$5," ")</f>
        <v xml:space="preserve"> </v>
      </c>
      <c r="P48" s="109" t="str">
        <f>IFERROR(VLOOKUP(Open[[#This Row],[TS SH O 25.06.22 Rang]],$AJ$16:$AK$111,2,0)*P$5," ")</f>
        <v xml:space="preserve"> </v>
      </c>
      <c r="Q48" s="109" t="str">
        <f>IFERROR(VLOOKUP(Open[[#This Row],[TS ZH O/A 25.06.22 Rang]],$AJ$16:$AK$111,2,0)*Q$5," ")</f>
        <v xml:space="preserve"> </v>
      </c>
      <c r="R48" s="109" t="str">
        <f>IFERROR(VLOOKUP(Open[[#This Row],[TS ZH O/B 25.06.22 Rang]],$AJ$16:$AK$111,2,0)*R$5," ")</f>
        <v xml:space="preserve"> </v>
      </c>
      <c r="S48" s="109">
        <f>IFERROR(VLOOKUP(Open[[#This Row],[SM BE O/A 09.07.22 Rang]],$AJ$16:$AK$111,2,0)*S$5," ")</f>
        <v>208</v>
      </c>
      <c r="T48" s="109" t="str">
        <f>IFERROR(VLOOKUP(Open[[#This Row],[SM BE O/B 09.07.22 Rang]],$AJ$16:$AK$111,2,0)*T$5," ")</f>
        <v xml:space="preserve"> </v>
      </c>
      <c r="U48" s="11">
        <v>0</v>
      </c>
      <c r="V48" s="11">
        <v>0</v>
      </c>
      <c r="W48" s="11">
        <v>0</v>
      </c>
      <c r="X48" s="129"/>
      <c r="Y48" s="191"/>
      <c r="Z48" s="201">
        <v>8</v>
      </c>
      <c r="AA48" s="191"/>
      <c r="AB48" s="191"/>
      <c r="AC48" s="191"/>
      <c r="AD48" s="191"/>
      <c r="AE48" s="191">
        <v>9</v>
      </c>
      <c r="AF48" s="191"/>
      <c r="AG48" s="17"/>
      <c r="AH48" s="17"/>
      <c r="AI48" s="17"/>
      <c r="AJ48" s="155">
        <v>32</v>
      </c>
      <c r="AK48" s="155">
        <v>30</v>
      </c>
      <c r="AL48" s="17"/>
      <c r="AM48" s="198">
        <f t="shared" ca="1" si="0"/>
        <v>11</v>
      </c>
      <c r="AN48" s="17" t="s">
        <v>488</v>
      </c>
      <c r="AO48" s="198">
        <f>COUNTIF(Open[Club],Tabel6487357616771737779[[#This Row],[Club]])</f>
        <v>8</v>
      </c>
      <c r="AP48" s="198">
        <f ca="1">SUMIF(Open[Club],Tabel6487357616771737779[[#This Row],[Club]],$F$7)</f>
        <v>466.79999999999995</v>
      </c>
      <c r="AQ48" s="17"/>
      <c r="AR48" s="17"/>
      <c r="AS48" s="16"/>
      <c r="AT48" s="16"/>
      <c r="AU48"/>
      <c r="AV48" s="16"/>
      <c r="AW48"/>
      <c r="AY48" s="16"/>
      <c r="AZ48" s="16"/>
      <c r="BA48" s="16"/>
      <c r="BC48" s="16"/>
      <c r="BD48" s="16"/>
      <c r="BE48" s="16"/>
      <c r="BF48" s="16"/>
      <c r="BG48" s="16"/>
      <c r="BH48" s="16"/>
      <c r="BI48" s="16"/>
    </row>
    <row r="49" spans="1:61" s="4" customFormat="1" x14ac:dyDescent="0.2">
      <c r="A49" s="11">
        <v>38</v>
      </c>
      <c r="B49" s="11">
        <f>IF(Open[[#This Row],[PR Rang beim letzten Turnier]]&gt;Open[[#This Row],[PR Rang]],1,IF(Open[[#This Row],[PR Rang beim letzten Turnier]]=Open[[#This Row],[PR Rang]],0,-1))</f>
        <v>-1</v>
      </c>
      <c r="C49" s="147">
        <f>RANK(Open[[#This Row],[PR Punkte]],Open[PR Punkte],0)</f>
        <v>43</v>
      </c>
      <c r="D49" s="9" t="s">
        <v>486</v>
      </c>
      <c r="E49" s="9" t="s">
        <v>10</v>
      </c>
      <c r="F49" s="109">
        <f>SUM(Open[[#This Row],[PR 1]:[PR 3]])</f>
        <v>430.5</v>
      </c>
      <c r="G49" s="109">
        <f>LARGE(Open[[#This Row],[TS SH O 22.02.22]:[PR3]],1)</f>
        <v>220.1</v>
      </c>
      <c r="H49" s="109">
        <f>LARGE(Open[[#This Row],[TS SH O 22.02.22]:[PR3]],2)</f>
        <v>148</v>
      </c>
      <c r="I49" s="109">
        <f>LARGE(Open[[#This Row],[TS SH O 22.02.22]:[PR3]],3)</f>
        <v>62.400000000000006</v>
      </c>
      <c r="J49" s="9">
        <f>RANK(K49,$K$7:$K$361,0)</f>
        <v>42</v>
      </c>
      <c r="K49" s="109">
        <f>SUM(L49:W49)</f>
        <v>476.69999999999993</v>
      </c>
      <c r="L49" s="109"/>
      <c r="M49" s="109">
        <f>IFERROR(VLOOKUP(Open[[#This Row],[TS SH O 23.04.22 Rang]],$AJ$16:$AK$111,2,0)*M$5," ")</f>
        <v>46.2</v>
      </c>
      <c r="N49" s="109" t="str">
        <f>IFERROR(VLOOKUP(Open[[#This Row],[TS LA O 08.05.22 Rang]],$AJ$16:$AK$111,2,0)*N$5," ")</f>
        <v xml:space="preserve"> </v>
      </c>
      <c r="O49" s="109" t="str">
        <f>IFERROR(VLOOKUP(Open[[#This Row],[TS SG O 25.05.22 Rang]],$AJ$16:$AK$111,2,0)*O$5," ")</f>
        <v xml:space="preserve"> </v>
      </c>
      <c r="P49" s="109">
        <f>IFERROR(VLOOKUP(Open[[#This Row],[TS SH O 25.06.22 Rang]],$AJ$16:$AK$111,2,0)*P$5," ")</f>
        <v>148</v>
      </c>
      <c r="Q49" s="109">
        <f>IFERROR(VLOOKUP(Open[[#This Row],[TS ZH O/A 25.06.22 Rang]],$AJ$16:$AK$111,2,0)*Q$5," ")</f>
        <v>220.1</v>
      </c>
      <c r="R49" s="109" t="str">
        <f>IFERROR(VLOOKUP(Open[[#This Row],[TS ZH O/B 25.06.22 Rang]],$AJ$16:$AK$111,2,0)*R$5," ")</f>
        <v xml:space="preserve"> </v>
      </c>
      <c r="S49" s="109">
        <f>IFERROR(VLOOKUP(Open[[#This Row],[SM BE O/A 09.07.22 Rang]],$AJ$16:$AK$111,2,0)*S$5," ")</f>
        <v>62.400000000000006</v>
      </c>
      <c r="T49" s="109" t="str">
        <f>IFERROR(VLOOKUP(Open[[#This Row],[SM BE O/B 09.07.22 Rang]],$AJ$16:$AK$111,2,0)*T$5," ")</f>
        <v xml:space="preserve"> </v>
      </c>
      <c r="U49" s="11">
        <v>0</v>
      </c>
      <c r="V49" s="11">
        <v>0</v>
      </c>
      <c r="W49" s="11">
        <v>0</v>
      </c>
      <c r="X49" s="129"/>
      <c r="Y49" s="191">
        <v>20</v>
      </c>
      <c r="Z49" s="191"/>
      <c r="AA49" s="191"/>
      <c r="AB49" s="191">
        <v>11</v>
      </c>
      <c r="AC49" s="191">
        <v>8</v>
      </c>
      <c r="AD49" s="191"/>
      <c r="AE49" s="191">
        <v>27</v>
      </c>
      <c r="AF49" s="191"/>
      <c r="AG49" s="17"/>
      <c r="AH49" s="17"/>
      <c r="AI49" s="17"/>
      <c r="AJ49" s="155">
        <v>33</v>
      </c>
      <c r="AK49" s="155">
        <v>20</v>
      </c>
      <c r="AL49" s="17"/>
      <c r="AM49" s="17"/>
      <c r="AN49" s="17"/>
      <c r="AO49" s="17"/>
      <c r="AP49" s="17"/>
      <c r="AQ49" s="17"/>
      <c r="AR49" s="17"/>
      <c r="AS49" s="16"/>
      <c r="AT49" s="16"/>
      <c r="AU49"/>
      <c r="AV49" s="16"/>
      <c r="AW49"/>
      <c r="AX49" s="16"/>
      <c r="AY49" s="16"/>
      <c r="AZ49" s="16"/>
      <c r="BA49" s="16"/>
      <c r="BC49" s="16"/>
      <c r="BD49" s="16"/>
      <c r="BE49" s="16"/>
      <c r="BF49" s="16"/>
      <c r="BG49" s="16"/>
      <c r="BH49" s="16"/>
      <c r="BI49" s="16"/>
    </row>
    <row r="50" spans="1:61" s="4" customFormat="1" ht="17" x14ac:dyDescent="0.2">
      <c r="A50" s="17">
        <v>47</v>
      </c>
      <c r="B50" s="17">
        <f>IF(Open[[#This Row],[PR Rang beim letzten Turnier]]&gt;Open[[#This Row],[PR Rang]],1,IF(Open[[#This Row],[PR Rang beim letzten Turnier]]=Open[[#This Row],[PR Rang]],0,-1))</f>
        <v>1</v>
      </c>
      <c r="C50" s="112">
        <f>RANK(Open[[#This Row],[PR Punkte]],Open[PR Punkte],0)</f>
        <v>44</v>
      </c>
      <c r="D50" s="17" t="s">
        <v>65</v>
      </c>
      <c r="E50" s="12" t="s">
        <v>7</v>
      </c>
      <c r="F50" s="109">
        <f>SUM(Open[[#This Row],[PR 1]:[PR 3]])</f>
        <v>402.79999999999995</v>
      </c>
      <c r="G50" s="109">
        <f>LARGE(Open[[#This Row],[TS SH O 22.02.22]:[PR3]],1)</f>
        <v>296</v>
      </c>
      <c r="H50" s="109">
        <f>LARGE(Open[[#This Row],[TS SH O 22.02.22]:[PR3]],2)</f>
        <v>62.400000000000006</v>
      </c>
      <c r="I50" s="109">
        <f>LARGE(Open[[#This Row],[TS SH O 22.02.22]:[PR3]],3)</f>
        <v>44.4</v>
      </c>
      <c r="J50" s="86">
        <f>RANK(K50,$K$7:$K$295,0)</f>
        <v>49</v>
      </c>
      <c r="K50" s="109">
        <f>SUM(L50:W50)</f>
        <v>402.79999999999995</v>
      </c>
      <c r="L50" s="109" t="str">
        <f>IFERROR(VLOOKUP(Open[[#This Row],[TS SH 22.02.22 Rang]],$AJ$16:$AK$111,2,0)*L$5," ")</f>
        <v xml:space="preserve"> </v>
      </c>
      <c r="M50" s="109" t="str">
        <f>IFERROR(VLOOKUP(Open[[#This Row],[TS SH O 23.04.22 Rang]],$AJ$16:$AK$111,2,0)*M$5," ")</f>
        <v xml:space="preserve"> </v>
      </c>
      <c r="N50" s="109" t="str">
        <f>IFERROR(VLOOKUP(Open[[#This Row],[TS LA O 08.05.22 Rang]],$AJ$16:$AK$111,2,0)*N$5," ")</f>
        <v xml:space="preserve"> </v>
      </c>
      <c r="O50" s="109">
        <f>IFERROR(VLOOKUP(Open[[#This Row],[TS SG O 25.05.22 Rang]],$AJ$16:$AK$111,2,0)*O$5," ")</f>
        <v>44.4</v>
      </c>
      <c r="P50" s="109">
        <f>IFERROR(VLOOKUP(Open[[#This Row],[TS SH O 25.06.22 Rang]],$AJ$16:$AK$111,2,0)*P$5," ")</f>
        <v>296</v>
      </c>
      <c r="Q50" s="109" t="str">
        <f>IFERROR(VLOOKUP(Open[[#This Row],[TS ZH O/A 25.06.22 Rang]],$AJ$16:$AK$111,2,0)*Q$5," ")</f>
        <v xml:space="preserve"> </v>
      </c>
      <c r="R50" s="109" t="str">
        <f>IFERROR(VLOOKUP(Open[[#This Row],[TS ZH O/B 25.06.22 Rang]],$AJ$16:$AK$111,2,0)*R$5," ")</f>
        <v xml:space="preserve"> </v>
      </c>
      <c r="S50" s="109">
        <f>IFERROR(VLOOKUP(Open[[#This Row],[SM BE O/A 09.07.22 Rang]],$AJ$16:$AK$111,2,0)*S$5," ")</f>
        <v>62.400000000000006</v>
      </c>
      <c r="T50" s="109" t="str">
        <f>IFERROR(VLOOKUP(Open[[#This Row],[SM BE O/B 09.07.22 Rang]],$AJ$16:$AK$111,2,0)*T$5," ")</f>
        <v xml:space="preserve"> </v>
      </c>
      <c r="U50" s="11">
        <v>0</v>
      </c>
      <c r="V50" s="11">
        <v>0</v>
      </c>
      <c r="W50" s="11">
        <v>0</v>
      </c>
      <c r="X50" s="129"/>
      <c r="Y50" s="191"/>
      <c r="Z50" s="191"/>
      <c r="AA50" s="201">
        <v>21</v>
      </c>
      <c r="AB50" s="203">
        <v>7</v>
      </c>
      <c r="AC50" s="191"/>
      <c r="AD50" s="191"/>
      <c r="AE50" s="201">
        <v>31</v>
      </c>
      <c r="AF50" s="191"/>
      <c r="AG50" s="17"/>
      <c r="AH50" s="17"/>
      <c r="AI50" s="17"/>
      <c r="AJ50" s="155">
        <v>34</v>
      </c>
      <c r="AK50" s="155">
        <v>20</v>
      </c>
      <c r="AL50" s="17"/>
      <c r="AM50" s="17"/>
      <c r="AN50" s="17"/>
      <c r="AO50" s="17"/>
      <c r="AP50" s="17"/>
      <c r="AQ50" s="17"/>
      <c r="AR50" s="17"/>
      <c r="AS50" s="16"/>
      <c r="AT50" s="16"/>
      <c r="AU50"/>
      <c r="AV50" s="16"/>
      <c r="AW50"/>
      <c r="AX50" s="16"/>
      <c r="AY50" s="16"/>
      <c r="AZ50" s="16"/>
      <c r="BA50" s="16"/>
      <c r="BD50" s="16"/>
      <c r="BE50" s="16"/>
      <c r="BF50" s="16"/>
      <c r="BG50" s="16"/>
      <c r="BH50" s="16"/>
      <c r="BI50" s="16"/>
    </row>
    <row r="51" spans="1:61" s="4" customFormat="1" x14ac:dyDescent="0.2">
      <c r="A51" s="11">
        <v>51</v>
      </c>
      <c r="B51" s="11">
        <f>IF(Open[[#This Row],[PR Rang beim letzten Turnier]]&gt;Open[[#This Row],[PR Rang]],1,IF(Open[[#This Row],[PR Rang beim letzten Turnier]]=Open[[#This Row],[PR Rang]],0,-1))</f>
        <v>1</v>
      </c>
      <c r="C51" s="147">
        <f>RANK(Open[[#This Row],[PR Punkte]],Open[PR Punkte],0)</f>
        <v>45</v>
      </c>
      <c r="D51" s="2" t="s">
        <v>146</v>
      </c>
      <c r="E51" s="33" t="s">
        <v>10</v>
      </c>
      <c r="F51" s="109">
        <f>SUM(Open[[#This Row],[PR 1]:[PR 3]])</f>
        <v>392.59999999999997</v>
      </c>
      <c r="G51" s="109">
        <f>LARGE(Open[[#This Row],[TS SH O 22.02.22]:[PR3]],1)</f>
        <v>284</v>
      </c>
      <c r="H51" s="109">
        <f>LARGE(Open[[#This Row],[TS SH O 22.02.22]:[PR3]],2)</f>
        <v>62.400000000000006</v>
      </c>
      <c r="I51" s="109">
        <f>LARGE(Open[[#This Row],[TS SH O 22.02.22]:[PR3]],3)</f>
        <v>46.2</v>
      </c>
      <c r="J51" s="33">
        <f>RANK(K51,$K$7:$K$295,0)</f>
        <v>53</v>
      </c>
      <c r="K51" s="109">
        <f>SUM(L51:W51)</f>
        <v>392.6</v>
      </c>
      <c r="L51" s="109" t="str">
        <f>IFERROR(VLOOKUP(Open[[#This Row],[TS SH 22.02.22 Rang]],$AJ$16:$AK$111,2,0)*L$5," ")</f>
        <v xml:space="preserve"> </v>
      </c>
      <c r="M51" s="109">
        <f>IFERROR(VLOOKUP(Open[[#This Row],[TS SH O 23.04.22 Rang]],$AJ$16:$AK$111,2,0)*M$5," ")</f>
        <v>46.2</v>
      </c>
      <c r="N51" s="109" t="str">
        <f>IFERROR(VLOOKUP(Open[[#This Row],[TS LA O 08.05.22 Rang]],$AJ$16:$AK$111,2,0)*N$5," ")</f>
        <v xml:space="preserve"> </v>
      </c>
      <c r="O51" s="109" t="str">
        <f>IFERROR(VLOOKUP(Open[[#This Row],[TS SG O 25.05.22 Rang]],$AJ$16:$AK$111,2,0)*O$5," ")</f>
        <v xml:space="preserve"> </v>
      </c>
      <c r="P51" s="109" t="str">
        <f>IFERROR(VLOOKUP(Open[[#This Row],[TS SH O 25.06.22 Rang]],$AJ$16:$AK$111,2,0)*P$5," ")</f>
        <v xml:space="preserve"> </v>
      </c>
      <c r="Q51" s="109">
        <f>IFERROR(VLOOKUP(Open[[#This Row],[TS ZH O/A 25.06.22 Rang]],$AJ$16:$AK$111,2,0)*Q$5," ")</f>
        <v>284</v>
      </c>
      <c r="R51" s="109" t="str">
        <f>IFERROR(VLOOKUP(Open[[#This Row],[TS ZH O/B 25.06.22 Rang]],$AJ$16:$AK$111,2,0)*R$5," ")</f>
        <v xml:space="preserve"> </v>
      </c>
      <c r="S51" s="109">
        <f>IFERROR(VLOOKUP(Open[[#This Row],[SM BE O/A 09.07.22 Rang]],$AJ$16:$AK$111,2,0)*S$5," ")</f>
        <v>62.400000000000006</v>
      </c>
      <c r="T51" s="109" t="str">
        <f>IFERROR(VLOOKUP(Open[[#This Row],[SM BE O/B 09.07.22 Rang]],$AJ$16:$AK$111,2,0)*T$5," ")</f>
        <v xml:space="preserve"> </v>
      </c>
      <c r="U51" s="11">
        <v>0</v>
      </c>
      <c r="V51" s="11">
        <v>0</v>
      </c>
      <c r="W51" s="11">
        <v>0</v>
      </c>
      <c r="X51" s="129"/>
      <c r="Y51" s="191">
        <v>19</v>
      </c>
      <c r="Z51" s="191"/>
      <c r="AA51" s="191"/>
      <c r="AB51" s="191"/>
      <c r="AC51" s="191">
        <v>7</v>
      </c>
      <c r="AD51" s="191"/>
      <c r="AE51" s="191">
        <v>23</v>
      </c>
      <c r="AF51" s="191"/>
      <c r="AG51" s="17"/>
      <c r="AH51" s="17"/>
      <c r="AI51" s="17"/>
      <c r="AJ51" s="155">
        <v>35</v>
      </c>
      <c r="AK51" s="155">
        <v>20</v>
      </c>
      <c r="AL51" s="17"/>
      <c r="AM51" s="17"/>
      <c r="AN51" s="17"/>
      <c r="AO51" s="17"/>
      <c r="AP51" s="17"/>
      <c r="AQ51" s="17"/>
      <c r="AR51" s="17"/>
      <c r="AS51" s="16"/>
      <c r="AT51" s="16"/>
      <c r="AU51"/>
      <c r="AV51" s="16"/>
      <c r="AW51"/>
      <c r="AX51" s="16"/>
      <c r="AY51" s="16"/>
      <c r="AZ51" s="16"/>
      <c r="BA51" s="16"/>
      <c r="BD51" s="16"/>
      <c r="BE51" s="16"/>
      <c r="BF51" s="16"/>
      <c r="BG51" s="16"/>
      <c r="BH51" s="16"/>
      <c r="BI51" s="16"/>
    </row>
    <row r="52" spans="1:61" s="4" customFormat="1" x14ac:dyDescent="0.2">
      <c r="A52" s="11">
        <v>40</v>
      </c>
      <c r="B52" s="11">
        <f>IF(Open[[#This Row],[PR Rang beim letzten Turnier]]&gt;Open[[#This Row],[PR Rang]],1,IF(Open[[#This Row],[PR Rang beim letzten Turnier]]=Open[[#This Row],[PR Rang]],0,-1))</f>
        <v>-1</v>
      </c>
      <c r="C52" s="147">
        <f>RANK(Open[[#This Row],[PR Punkte]],Open[PR Punkte],0)</f>
        <v>46</v>
      </c>
      <c r="D52" s="160" t="s">
        <v>59</v>
      </c>
      <c r="E52" s="9" t="s">
        <v>7</v>
      </c>
      <c r="F52" s="109">
        <f>SUM(Open[[#This Row],[PR 1]:[PR 3]])</f>
        <v>383.4</v>
      </c>
      <c r="G52" s="109">
        <f>LARGE(Open[[#This Row],[TS SH O 22.02.22]:[PR3]],1)</f>
        <v>229.4</v>
      </c>
      <c r="H52" s="109">
        <f>LARGE(Open[[#This Row],[TS SH O 22.02.22]:[PR3]],2)</f>
        <v>154</v>
      </c>
      <c r="I52" s="109">
        <f>LARGE(Open[[#This Row],[TS SH O 22.02.22]:[PR3]],3)</f>
        <v>0</v>
      </c>
      <c r="J52" s="9">
        <f>RANK(K52,$K$7:$K$295,0)</f>
        <v>54</v>
      </c>
      <c r="K52" s="109">
        <f>SUM(L52:W52)</f>
        <v>383.4</v>
      </c>
      <c r="L52" s="109" t="str">
        <f>IFERROR(VLOOKUP(Open[[#This Row],[TS SH 22.02.22 Rang]],$AJ$16:$AK$111,2,0)*L$5," ")</f>
        <v xml:space="preserve"> </v>
      </c>
      <c r="M52" s="109">
        <f>IFERROR(VLOOKUP(Open[[#This Row],[TS SH O 23.04.22 Rang]],$AJ$16:$AK$111,2,0)*M$5," ")</f>
        <v>154</v>
      </c>
      <c r="N52" s="109" t="str">
        <f>IFERROR(VLOOKUP(Open[[#This Row],[TS LA O 08.05.22 Rang]],$AJ$16:$AK$111,2,0)*N$5," ")</f>
        <v xml:space="preserve"> </v>
      </c>
      <c r="O52" s="109">
        <f>IFERROR(VLOOKUP(Open[[#This Row],[TS SG O 25.05.22 Rang]],$AJ$16:$AK$111,2,0)*O$5," ")</f>
        <v>229.4</v>
      </c>
      <c r="P52" s="109" t="str">
        <f>IFERROR(VLOOKUP(Open[[#This Row],[TS SH O 25.06.22 Rang]],$AJ$16:$AK$111,2,0)*P$5," ")</f>
        <v xml:space="preserve"> </v>
      </c>
      <c r="Q52" s="109" t="str">
        <f>IFERROR(VLOOKUP(Open[[#This Row],[TS ZH O/A 25.06.22 Rang]],$AJ$16:$AK$111,2,0)*Q$5," ")</f>
        <v xml:space="preserve"> </v>
      </c>
      <c r="R52" s="109" t="str">
        <f>IFERROR(VLOOKUP(Open[[#This Row],[TS ZH O/B 25.06.22 Rang]],$AJ$16:$AK$111,2,0)*R$5," ")</f>
        <v xml:space="preserve"> </v>
      </c>
      <c r="S52" s="109" t="str">
        <f>IFERROR(VLOOKUP(Open[[#This Row],[SM BE O/A 09.07.22 Rang]],$AJ$16:$AK$111,2,0)*S$5," ")</f>
        <v xml:space="preserve"> </v>
      </c>
      <c r="T52" s="109" t="str">
        <f>IFERROR(VLOOKUP(Open[[#This Row],[SM BE O/B 09.07.22 Rang]],$AJ$16:$AK$111,2,0)*T$5," ")</f>
        <v xml:space="preserve"> </v>
      </c>
      <c r="U52" s="11">
        <v>0</v>
      </c>
      <c r="V52" s="11">
        <v>0</v>
      </c>
      <c r="W52" s="11">
        <v>0</v>
      </c>
      <c r="X52" s="129"/>
      <c r="Y52" s="191">
        <v>11</v>
      </c>
      <c r="Z52" s="191"/>
      <c r="AA52" s="191">
        <v>8</v>
      </c>
      <c r="AB52" s="191"/>
      <c r="AC52" s="191"/>
      <c r="AD52" s="191"/>
      <c r="AE52" s="191"/>
      <c r="AF52" s="191"/>
      <c r="AG52" s="17"/>
      <c r="AH52" s="17"/>
      <c r="AI52" s="17"/>
      <c r="AJ52" s="155">
        <v>36</v>
      </c>
      <c r="AK52" s="155">
        <v>20</v>
      </c>
      <c r="AL52" s="17"/>
      <c r="AM52" s="17"/>
      <c r="AN52" s="17"/>
      <c r="AO52" s="17"/>
      <c r="AP52" s="17"/>
      <c r="AQ52" s="17"/>
      <c r="AR52" s="17"/>
      <c r="AS52" s="16"/>
      <c r="AT52" s="16"/>
      <c r="AU52"/>
      <c r="AV52" s="16"/>
      <c r="AW52"/>
      <c r="AX52" s="16"/>
      <c r="AY52" s="16"/>
      <c r="AZ52" s="16"/>
      <c r="BA52" s="16"/>
      <c r="BD52" s="16"/>
      <c r="BE52" s="16"/>
      <c r="BF52" s="16"/>
      <c r="BG52" s="16"/>
      <c r="BH52" s="16"/>
      <c r="BI52" s="16"/>
    </row>
    <row r="53" spans="1:61" s="4" customFormat="1" x14ac:dyDescent="0.2">
      <c r="A53" s="11">
        <v>42</v>
      </c>
      <c r="B53" s="11">
        <f>IF(Open[[#This Row],[PR Rang beim letzten Turnier]]&gt;Open[[#This Row],[PR Rang]],1,IF(Open[[#This Row],[PR Rang beim letzten Turnier]]=Open[[#This Row],[PR Rang]],0,-1))</f>
        <v>-1</v>
      </c>
      <c r="C53" s="147">
        <f>RANK(Open[[#This Row],[PR Punkte]],Open[PR Punkte],0)</f>
        <v>47</v>
      </c>
      <c r="D53" s="31" t="s">
        <v>86</v>
      </c>
      <c r="E53" s="9" t="s">
        <v>10</v>
      </c>
      <c r="F53" s="109">
        <f>SUM(Open[[#This Row],[PR 1]:[PR 3]])</f>
        <v>374.4</v>
      </c>
      <c r="G53" s="109">
        <f>LARGE(Open[[#This Row],[TS SH O 22.02.22]:[PR3]],1)</f>
        <v>158</v>
      </c>
      <c r="H53" s="109">
        <f>LARGE(Open[[#This Row],[TS SH O 22.02.22]:[PR3]],2)</f>
        <v>154</v>
      </c>
      <c r="I53" s="109">
        <f>LARGE(Open[[#This Row],[TS SH O 22.02.22]:[PR3]],3)</f>
        <v>62.400000000000006</v>
      </c>
      <c r="J53" s="9">
        <f>RANK(K53,$K$7:$K$295,0)</f>
        <v>44</v>
      </c>
      <c r="K53" s="109">
        <f>SUM(L53:W53)</f>
        <v>418.79999999999995</v>
      </c>
      <c r="L53" s="109" t="str">
        <f>IFERROR(VLOOKUP(Open[[#This Row],[TS SH 22.02.22 Rang]],$AJ$16:$AK$111,2,0)*L$5," ")</f>
        <v xml:space="preserve"> </v>
      </c>
      <c r="M53" s="109">
        <f>IFERROR(VLOOKUP(Open[[#This Row],[TS SH O 23.04.22 Rang]],$AJ$16:$AK$111,2,0)*M$5," ")</f>
        <v>154</v>
      </c>
      <c r="N53" s="109">
        <f>IFERROR(VLOOKUP(Open[[#This Row],[TS LA O 08.05.22 Rang]],$AJ$16:$AK$111,2,0)*N$5," ")</f>
        <v>158</v>
      </c>
      <c r="O53" s="109" t="str">
        <f>IFERROR(VLOOKUP(Open[[#This Row],[TS SG O 25.05.22 Rang]],$AJ$16:$AK$111,2,0)*O$5," ")</f>
        <v xml:space="preserve"> </v>
      </c>
      <c r="P53" s="109">
        <f>IFERROR(VLOOKUP(Open[[#This Row],[TS SH O 25.06.22 Rang]],$AJ$16:$AK$111,2,0)*P$5," ")</f>
        <v>44.4</v>
      </c>
      <c r="Q53" s="109" t="str">
        <f>IFERROR(VLOOKUP(Open[[#This Row],[TS ZH O/A 25.06.22 Rang]],$AJ$16:$AK$111,2,0)*Q$5," ")</f>
        <v xml:space="preserve"> </v>
      </c>
      <c r="R53" s="109" t="str">
        <f>IFERROR(VLOOKUP(Open[[#This Row],[TS ZH O/B 25.06.22 Rang]],$AJ$16:$AK$111,2,0)*R$5," ")</f>
        <v xml:space="preserve"> </v>
      </c>
      <c r="S53" s="109">
        <f>IFERROR(VLOOKUP(Open[[#This Row],[SM BE O/A 09.07.22 Rang]],$AJ$16:$AK$111,2,0)*S$5," ")</f>
        <v>62.400000000000006</v>
      </c>
      <c r="T53" s="109" t="str">
        <f>IFERROR(VLOOKUP(Open[[#This Row],[SM BE O/B 09.07.22 Rang]],$AJ$16:$AK$111,2,0)*T$5," ")</f>
        <v xml:space="preserve"> </v>
      </c>
      <c r="U53" s="11">
        <v>0</v>
      </c>
      <c r="V53" s="11">
        <v>0</v>
      </c>
      <c r="W53" s="11">
        <v>0</v>
      </c>
      <c r="X53" s="129"/>
      <c r="Y53" s="191">
        <v>13</v>
      </c>
      <c r="Z53" s="191">
        <v>14</v>
      </c>
      <c r="AA53" s="191"/>
      <c r="AB53" s="191">
        <v>19</v>
      </c>
      <c r="AC53" s="191"/>
      <c r="AD53" s="191"/>
      <c r="AE53" s="191">
        <v>29</v>
      </c>
      <c r="AF53" s="191"/>
      <c r="AG53" s="17"/>
      <c r="AH53" s="17"/>
      <c r="AI53" s="17"/>
      <c r="AJ53" s="155">
        <v>37</v>
      </c>
      <c r="AK53" s="155">
        <v>20</v>
      </c>
      <c r="AL53" s="17"/>
      <c r="AM53" s="17"/>
      <c r="AN53" s="17"/>
      <c r="AO53" s="17"/>
      <c r="AP53" s="17"/>
      <c r="AQ53" s="17"/>
      <c r="AR53" s="17"/>
      <c r="AS53" s="16"/>
      <c r="AT53" s="16"/>
      <c r="AU53"/>
      <c r="AV53" s="16"/>
      <c r="AW53"/>
      <c r="AX53" s="16"/>
      <c r="AY53" s="16"/>
      <c r="AZ53" s="16"/>
      <c r="BA53" s="16"/>
      <c r="BD53" s="16"/>
      <c r="BE53" s="16"/>
      <c r="BF53" s="16"/>
      <c r="BG53" s="16"/>
      <c r="BH53" s="16"/>
      <c r="BI53" s="16"/>
    </row>
    <row r="54" spans="1:61" s="4" customFormat="1" x14ac:dyDescent="0.2">
      <c r="A54" s="11">
        <v>43</v>
      </c>
      <c r="B54" s="11">
        <f>IF(Open[[#This Row],[PR Rang beim letzten Turnier]]&gt;Open[[#This Row],[PR Rang]],1,IF(Open[[#This Row],[PR Rang beim letzten Turnier]]=Open[[#This Row],[PR Rang]],0,-1))</f>
        <v>-1</v>
      </c>
      <c r="C54" s="147">
        <f>RANK(Open[[#This Row],[PR Punkte]],Open[PR Punkte],0)</f>
        <v>48</v>
      </c>
      <c r="D54" s="31" t="s">
        <v>92</v>
      </c>
      <c r="E54" s="9" t="s">
        <v>11</v>
      </c>
      <c r="F54" s="109">
        <f>SUM(Open[[#This Row],[PR 1]:[PR 3]])</f>
        <v>368.4</v>
      </c>
      <c r="G54" s="109">
        <f>LARGE(Open[[#This Row],[TS SH O 22.02.22]:[PR3]],1)</f>
        <v>158</v>
      </c>
      <c r="H54" s="109">
        <f>LARGE(Open[[#This Row],[TS SH O 22.02.22]:[PR3]],2)</f>
        <v>148</v>
      </c>
      <c r="I54" s="109">
        <f>LARGE(Open[[#This Row],[TS SH O 22.02.22]:[PR3]],3)</f>
        <v>62.400000000000006</v>
      </c>
      <c r="J54" s="9">
        <f>RANK(K54,$K$7:$K$295,0)</f>
        <v>45</v>
      </c>
      <c r="K54" s="109">
        <f>SUM(L54:W54)</f>
        <v>412.79999999999995</v>
      </c>
      <c r="L54" s="109" t="str">
        <f>IFERROR(VLOOKUP(Open[[#This Row],[TS SH 22.02.22 Rang]],$AJ$16:$AK$111,2,0)*L$5," ")</f>
        <v xml:space="preserve"> </v>
      </c>
      <c r="M54" s="109" t="str">
        <f>IFERROR(VLOOKUP(Open[[#This Row],[TS SH O 23.04.22 Rang]],$AJ$16:$AK$111,2,0)*M$5," ")</f>
        <v xml:space="preserve"> </v>
      </c>
      <c r="N54" s="109">
        <f>IFERROR(VLOOKUP(Open[[#This Row],[TS LA O 08.05.22 Rang]],$AJ$16:$AK$111,2,0)*N$5," ")</f>
        <v>158</v>
      </c>
      <c r="O54" s="109">
        <f>IFERROR(VLOOKUP(Open[[#This Row],[TS SG O 25.05.22 Rang]],$AJ$16:$AK$111,2,0)*O$5," ")</f>
        <v>148</v>
      </c>
      <c r="P54" s="109">
        <f>IFERROR(VLOOKUP(Open[[#This Row],[TS SH O 25.06.22 Rang]],$AJ$16:$AK$111,2,0)*P$5," ")</f>
        <v>44.4</v>
      </c>
      <c r="Q54" s="109" t="str">
        <f>IFERROR(VLOOKUP(Open[[#This Row],[TS ZH O/A 25.06.22 Rang]],$AJ$16:$AK$111,2,0)*Q$5," ")</f>
        <v xml:space="preserve"> </v>
      </c>
      <c r="R54" s="109" t="str">
        <f>IFERROR(VLOOKUP(Open[[#This Row],[TS ZH O/B 25.06.22 Rang]],$AJ$16:$AK$111,2,0)*R$5," ")</f>
        <v xml:space="preserve"> </v>
      </c>
      <c r="S54" s="109">
        <f>IFERROR(VLOOKUP(Open[[#This Row],[SM BE O/A 09.07.22 Rang]],$AJ$16:$AK$111,2,0)*S$5," ")</f>
        <v>62.400000000000006</v>
      </c>
      <c r="T54" s="109" t="str">
        <f>IFERROR(VLOOKUP(Open[[#This Row],[SM BE O/B 09.07.22 Rang]],$AJ$16:$AK$111,2,0)*T$5," ")</f>
        <v xml:space="preserve"> </v>
      </c>
      <c r="U54" s="11">
        <v>0</v>
      </c>
      <c r="V54" s="11">
        <v>0</v>
      </c>
      <c r="W54" s="11">
        <v>0</v>
      </c>
      <c r="X54" s="129"/>
      <c r="Y54" s="191"/>
      <c r="Z54" s="191">
        <v>15</v>
      </c>
      <c r="AA54" s="191">
        <v>12</v>
      </c>
      <c r="AB54" s="191">
        <v>18</v>
      </c>
      <c r="AC54" s="191"/>
      <c r="AD54" s="191"/>
      <c r="AE54" s="191">
        <v>22</v>
      </c>
      <c r="AF54" s="191"/>
      <c r="AG54" s="17"/>
      <c r="AH54" s="17"/>
      <c r="AI54" s="17"/>
      <c r="AJ54" s="155">
        <v>38</v>
      </c>
      <c r="AK54" s="155">
        <v>20</v>
      </c>
      <c r="AL54" s="17"/>
      <c r="AM54" s="17"/>
      <c r="AN54" s="17"/>
      <c r="AO54" s="17"/>
      <c r="AP54" s="17"/>
      <c r="AQ54" s="17"/>
      <c r="AR54" s="17"/>
      <c r="AS54" s="16"/>
      <c r="AT54" s="16"/>
      <c r="AU54"/>
      <c r="AV54" s="16"/>
      <c r="AW54"/>
      <c r="AX54" s="16"/>
      <c r="AY54" s="16"/>
      <c r="AZ54" s="16"/>
      <c r="BA54" s="16"/>
      <c r="BD54" s="16"/>
      <c r="BE54" s="16"/>
      <c r="BF54" s="16"/>
      <c r="BG54" s="16"/>
      <c r="BH54" s="16"/>
      <c r="BI54" s="16"/>
    </row>
    <row r="55" spans="1:61" s="4" customFormat="1" x14ac:dyDescent="0.2">
      <c r="A55" s="11">
        <v>52</v>
      </c>
      <c r="B55" s="11">
        <f>IF(Open[[#This Row],[PR Rang beim letzten Turnier]]&gt;Open[[#This Row],[PR Rang]],1,IF(Open[[#This Row],[PR Rang beim letzten Turnier]]=Open[[#This Row],[PR Rang]],0,-1))</f>
        <v>1</v>
      </c>
      <c r="C55" s="147">
        <f>RANK(Open[[#This Row],[PR Punkte]],Open[PR Punkte],0)</f>
        <v>49</v>
      </c>
      <c r="D55" s="7" t="s">
        <v>131</v>
      </c>
      <c r="E55" s="11" t="s">
        <v>16</v>
      </c>
      <c r="F55" s="109">
        <f>SUM(Open[[#This Row],[PR 1]:[PR 3]])</f>
        <v>364.4</v>
      </c>
      <c r="G55" s="109">
        <f>LARGE(Open[[#This Row],[TS SH O 22.02.22]:[PR3]],1)</f>
        <v>154</v>
      </c>
      <c r="H55" s="109">
        <f>LARGE(Open[[#This Row],[TS SH O 22.02.22]:[PR3]],2)</f>
        <v>148</v>
      </c>
      <c r="I55" s="109">
        <f>LARGE(Open[[#This Row],[TS SH O 22.02.22]:[PR3]],3)</f>
        <v>62.400000000000006</v>
      </c>
      <c r="J55" s="11">
        <f>RANK(K55,$K$7:$K$295,0)</f>
        <v>55</v>
      </c>
      <c r="K55" s="109">
        <f>SUM(L55:W55)</f>
        <v>364.4</v>
      </c>
      <c r="L55" s="109" t="str">
        <f>IFERROR(VLOOKUP(Open[[#This Row],[TS SH 22.02.22 Rang]],$AJ$16:$AK$111,2,0)*L$5," ")</f>
        <v xml:space="preserve"> </v>
      </c>
      <c r="M55" s="109">
        <f>IFERROR(VLOOKUP(Open[[#This Row],[TS SH O 23.04.22 Rang]],$AJ$16:$AK$111,2,0)*M$5," ")</f>
        <v>154</v>
      </c>
      <c r="N55" s="109" t="str">
        <f>IFERROR(VLOOKUP(Open[[#This Row],[TS LA O 08.05.22 Rang]],$AJ$16:$AK$111,2,0)*N$5," ")</f>
        <v xml:space="preserve"> </v>
      </c>
      <c r="O55" s="109" t="str">
        <f>IFERROR(VLOOKUP(Open[[#This Row],[TS SG O 25.05.22 Rang]],$AJ$16:$AK$111,2,0)*O$5," ")</f>
        <v xml:space="preserve"> </v>
      </c>
      <c r="P55" s="109">
        <f>IFERROR(VLOOKUP(Open[[#This Row],[TS SH O 25.06.22 Rang]],$AJ$16:$AK$111,2,0)*P$5," ")</f>
        <v>148</v>
      </c>
      <c r="Q55" s="109" t="str">
        <f>IFERROR(VLOOKUP(Open[[#This Row],[TS ZH O/A 25.06.22 Rang]],$AJ$16:$AK$111,2,0)*Q$5," ")</f>
        <v xml:space="preserve"> </v>
      </c>
      <c r="R55" s="109" t="str">
        <f>IFERROR(VLOOKUP(Open[[#This Row],[TS ZH O/B 25.06.22 Rang]],$AJ$16:$AK$111,2,0)*R$5," ")</f>
        <v xml:space="preserve"> </v>
      </c>
      <c r="S55" s="109">
        <f>IFERROR(VLOOKUP(Open[[#This Row],[SM BE O/A 09.07.22 Rang]],$AJ$16:$AK$111,2,0)*S$5," ")</f>
        <v>62.400000000000006</v>
      </c>
      <c r="T55" s="109" t="str">
        <f>IFERROR(VLOOKUP(Open[[#This Row],[SM BE O/B 09.07.22 Rang]],$AJ$16:$AK$111,2,0)*T$5," ")</f>
        <v xml:space="preserve"> </v>
      </c>
      <c r="U55" s="11">
        <v>0</v>
      </c>
      <c r="V55" s="11">
        <v>0</v>
      </c>
      <c r="W55" s="11">
        <v>0</v>
      </c>
      <c r="X55" s="129"/>
      <c r="Y55" s="191">
        <v>14</v>
      </c>
      <c r="Z55" s="191"/>
      <c r="AA55" s="191"/>
      <c r="AB55" s="191">
        <v>14</v>
      </c>
      <c r="AC55" s="191"/>
      <c r="AD55" s="191"/>
      <c r="AE55" s="191">
        <v>24</v>
      </c>
      <c r="AF55" s="191"/>
      <c r="AG55" s="17"/>
      <c r="AH55" s="17"/>
      <c r="AI55" s="17"/>
      <c r="AJ55" s="155">
        <v>39</v>
      </c>
      <c r="AK55" s="155">
        <v>20</v>
      </c>
      <c r="AL55" s="17"/>
      <c r="AM55" s="17"/>
      <c r="AN55" s="17"/>
      <c r="AO55" s="17"/>
      <c r="AP55" s="17"/>
      <c r="AQ55" s="17"/>
      <c r="AR55" s="17"/>
      <c r="AS55" s="16"/>
      <c r="AT55" s="16"/>
      <c r="AU55"/>
      <c r="AV55" s="16"/>
      <c r="AW55"/>
      <c r="AX55" s="16"/>
      <c r="AY55" s="16"/>
      <c r="AZ55" s="16"/>
      <c r="BA55" s="16"/>
      <c r="BD55" s="16"/>
      <c r="BE55" s="16"/>
      <c r="BF55" s="16"/>
      <c r="BG55" s="16"/>
      <c r="BH55" s="16"/>
      <c r="BI55" s="16"/>
    </row>
    <row r="56" spans="1:61" s="4" customFormat="1" x14ac:dyDescent="0.2">
      <c r="A56" s="11">
        <v>45</v>
      </c>
      <c r="B56" s="11">
        <f>IF(Open[[#This Row],[PR Rang beim letzten Turnier]]&gt;Open[[#This Row],[PR Rang]],1,IF(Open[[#This Row],[PR Rang beim letzten Turnier]]=Open[[#This Row],[PR Rang]],0,-1))</f>
        <v>-1</v>
      </c>
      <c r="C56" s="147">
        <f>RANK(Open[[#This Row],[PR Punkte]],Open[PR Punkte],0)</f>
        <v>49</v>
      </c>
      <c r="D56" s="9" t="s">
        <v>484</v>
      </c>
      <c r="E56" s="9" t="s">
        <v>7</v>
      </c>
      <c r="F56" s="109">
        <f>SUM(Open[[#This Row],[PR 1]:[PR 3]])</f>
        <v>364.4</v>
      </c>
      <c r="G56" s="109">
        <f>LARGE(Open[[#This Row],[TS SH O 22.02.22]:[PR3]],1)</f>
        <v>154</v>
      </c>
      <c r="H56" s="109">
        <f>LARGE(Open[[#This Row],[TS SH O 22.02.22]:[PR3]],2)</f>
        <v>148</v>
      </c>
      <c r="I56" s="109">
        <f>LARGE(Open[[#This Row],[TS SH O 22.02.22]:[PR3]],3)</f>
        <v>62.400000000000006</v>
      </c>
      <c r="J56" s="9">
        <f>RANK(K56,$K$7:$K$361,0)</f>
        <v>47</v>
      </c>
      <c r="K56" s="109">
        <f>SUM(L56:W56)</f>
        <v>408.79999999999995</v>
      </c>
      <c r="L56" s="109"/>
      <c r="M56" s="109">
        <f>IFERROR(VLOOKUP(Open[[#This Row],[TS SH O 23.04.22 Rang]],$AJ$16:$AK$111,2,0)*M$5," ")</f>
        <v>154</v>
      </c>
      <c r="N56" s="109" t="str">
        <f>IFERROR(VLOOKUP(Open[[#This Row],[TS LA O 08.05.22 Rang]],$AJ$16:$AK$111,2,0)*N$5," ")</f>
        <v xml:space="preserve"> </v>
      </c>
      <c r="O56" s="109">
        <f>IFERROR(VLOOKUP(Open[[#This Row],[TS SG O 25.05.22 Rang]],$AJ$16:$AK$111,2,0)*O$5," ")</f>
        <v>44.4</v>
      </c>
      <c r="P56" s="109">
        <f>IFERROR(VLOOKUP(Open[[#This Row],[TS SH O 25.06.22 Rang]],$AJ$16:$AK$111,2,0)*P$5," ")</f>
        <v>148</v>
      </c>
      <c r="Q56" s="109" t="str">
        <f>IFERROR(VLOOKUP(Open[[#This Row],[TS ZH O/A 25.06.22 Rang]],$AJ$16:$AK$111,2,0)*Q$5," ")</f>
        <v xml:space="preserve"> </v>
      </c>
      <c r="R56" s="109" t="str">
        <f>IFERROR(VLOOKUP(Open[[#This Row],[TS ZH O/B 25.06.22 Rang]],$AJ$16:$AK$111,2,0)*R$5," ")</f>
        <v xml:space="preserve"> </v>
      </c>
      <c r="S56" s="109">
        <f>IFERROR(VLOOKUP(Open[[#This Row],[SM BE O/A 09.07.22 Rang]],$AJ$16:$AK$111,2,0)*S$5," ")</f>
        <v>62.400000000000006</v>
      </c>
      <c r="T56" s="109" t="str">
        <f>IFERROR(VLOOKUP(Open[[#This Row],[SM BE O/B 09.07.22 Rang]],$AJ$16:$AK$111,2,0)*T$5," ")</f>
        <v xml:space="preserve"> </v>
      </c>
      <c r="U56" s="11">
        <v>0</v>
      </c>
      <c r="V56" s="11">
        <v>0</v>
      </c>
      <c r="W56" s="11">
        <v>0</v>
      </c>
      <c r="X56" s="129"/>
      <c r="Y56" s="191">
        <v>15</v>
      </c>
      <c r="Z56" s="191"/>
      <c r="AA56" s="191">
        <v>17</v>
      </c>
      <c r="AB56" s="191">
        <v>16</v>
      </c>
      <c r="AC56" s="191"/>
      <c r="AD56" s="191"/>
      <c r="AE56" s="191">
        <v>31</v>
      </c>
      <c r="AF56" s="191"/>
      <c r="AG56" s="17"/>
      <c r="AH56" s="17"/>
      <c r="AI56" s="17"/>
      <c r="AJ56" s="155">
        <v>40</v>
      </c>
      <c r="AK56" s="155">
        <v>20</v>
      </c>
      <c r="AL56" s="17"/>
      <c r="AM56" s="17"/>
      <c r="AN56" s="17"/>
      <c r="AO56" s="17"/>
      <c r="AP56" s="17"/>
      <c r="AQ56" s="17"/>
      <c r="AR56" s="17"/>
      <c r="AS56" s="16"/>
      <c r="AT56" s="16"/>
      <c r="AU56"/>
      <c r="AV56" s="16"/>
      <c r="AW56"/>
      <c r="AX56" s="16"/>
      <c r="AY56" s="16"/>
      <c r="AZ56" s="16"/>
      <c r="BA56" s="16"/>
      <c r="BD56" s="16"/>
      <c r="BE56" s="16"/>
      <c r="BF56" s="16"/>
      <c r="BG56" s="16"/>
      <c r="BH56" s="16"/>
      <c r="BI56" s="16"/>
    </row>
    <row r="57" spans="1:61" s="4" customFormat="1" x14ac:dyDescent="0.2">
      <c r="A57" s="11">
        <v>46</v>
      </c>
      <c r="B57" s="11">
        <f>IF(Open[[#This Row],[PR Rang beim letzten Turnier]]&gt;Open[[#This Row],[PR Rang]],1,IF(Open[[#This Row],[PR Rang beim letzten Turnier]]=Open[[#This Row],[PR Rang]],0,-1))</f>
        <v>-1</v>
      </c>
      <c r="C57" s="147">
        <f>RANK(Open[[#This Row],[PR Punkte]],Open[PR Punkte],0)</f>
        <v>51</v>
      </c>
      <c r="D57" s="43" t="s">
        <v>287</v>
      </c>
      <c r="E57" s="17" t="s">
        <v>10</v>
      </c>
      <c r="F57" s="109">
        <f>SUM(Open[[#This Row],[PR 1]:[PR 3]])</f>
        <v>362.4</v>
      </c>
      <c r="G57" s="109">
        <f>LARGE(Open[[#This Row],[TS SH O 22.02.22]:[PR3]],1)</f>
        <v>158</v>
      </c>
      <c r="H57" s="109">
        <f>LARGE(Open[[#This Row],[TS SH O 22.02.22]:[PR3]],2)</f>
        <v>142</v>
      </c>
      <c r="I57" s="109">
        <f>LARGE(Open[[#This Row],[TS SH O 22.02.22]:[PR3]],3)</f>
        <v>62.400000000000006</v>
      </c>
      <c r="J57" s="17">
        <f>RANK(K57,$K$7:$K$295,0)</f>
        <v>48</v>
      </c>
      <c r="K57" s="109">
        <f>SUM(L57:W57)</f>
        <v>406.79999999999995</v>
      </c>
      <c r="L57" s="109" t="str">
        <f>IFERROR(VLOOKUP(Open[[#This Row],[TS SH 22.02.22 Rang]],$AJ$16:$AK$111,2,0)*L$5," ")</f>
        <v xml:space="preserve"> </v>
      </c>
      <c r="M57" s="109" t="str">
        <f>IFERROR(VLOOKUP(Open[[#This Row],[TS SH O 23.04.22 Rang]],$AJ$16:$AK$111,2,0)*M$5," ")</f>
        <v xml:space="preserve"> </v>
      </c>
      <c r="N57" s="109">
        <f>IFERROR(VLOOKUP(Open[[#This Row],[TS LA O 08.05.22 Rang]],$AJ$16:$AK$111,2,0)*N$5," ")</f>
        <v>158</v>
      </c>
      <c r="O57" s="109" t="str">
        <f>IFERROR(VLOOKUP(Open[[#This Row],[TS SG O 25.05.22 Rang]],$AJ$16:$AK$111,2,0)*O$5," ")</f>
        <v xml:space="preserve"> </v>
      </c>
      <c r="P57" s="109">
        <f>IFERROR(VLOOKUP(Open[[#This Row],[TS SH O 25.06.22 Rang]],$AJ$16:$AK$111,2,0)*P$5," ")</f>
        <v>44.4</v>
      </c>
      <c r="Q57" s="109">
        <f>IFERROR(VLOOKUP(Open[[#This Row],[TS ZH O/A 25.06.22 Rang]],$AJ$16:$AK$111,2,0)*Q$5," ")</f>
        <v>142</v>
      </c>
      <c r="R57" s="109" t="str">
        <f>IFERROR(VLOOKUP(Open[[#This Row],[TS ZH O/B 25.06.22 Rang]],$AJ$16:$AK$111,2,0)*R$5," ")</f>
        <v xml:space="preserve"> </v>
      </c>
      <c r="S57" s="109">
        <f>IFERROR(VLOOKUP(Open[[#This Row],[SM BE O/A 09.07.22 Rang]],$AJ$16:$AK$111,2,0)*S$5," ")</f>
        <v>62.400000000000006</v>
      </c>
      <c r="T57" s="109" t="str">
        <f>IFERROR(VLOOKUP(Open[[#This Row],[SM BE O/B 09.07.22 Rang]],$AJ$16:$AK$111,2,0)*T$5," ")</f>
        <v xml:space="preserve"> </v>
      </c>
      <c r="U57" s="11">
        <v>0</v>
      </c>
      <c r="V57" s="11">
        <v>0</v>
      </c>
      <c r="W57" s="11">
        <v>0</v>
      </c>
      <c r="X57" s="129"/>
      <c r="Y57" s="191"/>
      <c r="Z57" s="191">
        <v>14</v>
      </c>
      <c r="AA57" s="191"/>
      <c r="AB57" s="191">
        <v>21</v>
      </c>
      <c r="AC57" s="191">
        <v>11</v>
      </c>
      <c r="AD57" s="191"/>
      <c r="AE57" s="191">
        <v>27</v>
      </c>
      <c r="AF57" s="191"/>
      <c r="AG57" s="17"/>
      <c r="AH57" s="17"/>
      <c r="AI57" s="17"/>
      <c r="AJ57" s="155">
        <v>41</v>
      </c>
      <c r="AK57" s="155">
        <v>20</v>
      </c>
      <c r="AL57" s="17"/>
      <c r="AM57" s="17"/>
      <c r="AN57" s="17"/>
      <c r="AO57" s="17"/>
      <c r="AP57" s="17"/>
      <c r="AQ57" s="17"/>
      <c r="AR57" s="17"/>
      <c r="AS57" s="16"/>
      <c r="AT57" s="16"/>
      <c r="AU57" s="16"/>
      <c r="AV57" s="16"/>
      <c r="AW57"/>
      <c r="AX57" s="16"/>
      <c r="AY57" s="16"/>
      <c r="AZ57" s="16"/>
      <c r="BA57" s="16"/>
      <c r="BD57" s="16"/>
      <c r="BE57" s="16"/>
      <c r="BF57" s="16"/>
      <c r="BG57" s="16"/>
      <c r="BH57" s="16"/>
      <c r="BI57" s="16"/>
    </row>
    <row r="58" spans="1:61" s="4" customFormat="1" x14ac:dyDescent="0.2">
      <c r="A58" s="17">
        <v>44</v>
      </c>
      <c r="B58" s="17">
        <f>IF(Open[[#This Row],[PR Rang beim letzten Turnier]]&gt;Open[[#This Row],[PR Rang]],1,IF(Open[[#This Row],[PR Rang beim letzten Turnier]]=Open[[#This Row],[PR Rang]],0,-1))</f>
        <v>-1</v>
      </c>
      <c r="C58" s="112">
        <f>RANK(Open[[#This Row],[PR Punkte]],Open[PR Punkte],0)</f>
        <v>52</v>
      </c>
      <c r="D58" s="17" t="s">
        <v>76</v>
      </c>
      <c r="E58" s="9" t="s">
        <v>10</v>
      </c>
      <c r="F58" s="109">
        <f>SUM(Open[[#This Row],[PR 1]:[PR 3]])</f>
        <v>352.4</v>
      </c>
      <c r="G58" s="109">
        <f>LARGE(Open[[#This Row],[TS SH O 22.02.22]:[PR3]],1)</f>
        <v>148</v>
      </c>
      <c r="H58" s="109">
        <f>LARGE(Open[[#This Row],[TS SH O 22.02.22]:[PR3]],2)</f>
        <v>142</v>
      </c>
      <c r="I58" s="109">
        <f>LARGE(Open[[#This Row],[TS SH O 22.02.22]:[PR3]],3)</f>
        <v>62.400000000000006</v>
      </c>
      <c r="J58" s="9">
        <f>RANK(K58,$K$7:$K$295,0)</f>
        <v>46</v>
      </c>
      <c r="K58" s="109">
        <f>SUM(L58:W58)</f>
        <v>410.6</v>
      </c>
      <c r="L58" s="109">
        <f>IFERROR(VLOOKUP(Open[[#This Row],[TS SH 22.02.22 Rang]],$AJ$16:$AK$111,2,0)*L$5," ")</f>
        <v>58.199999999999996</v>
      </c>
      <c r="M58" s="109" t="str">
        <f>IFERROR(VLOOKUP(Open[[#This Row],[TS SH O 23.04.22 Rang]],$AJ$16:$AK$111,2,0)*M$5," ")</f>
        <v xml:space="preserve"> </v>
      </c>
      <c r="N58" s="109" t="str">
        <f>IFERROR(VLOOKUP(Open[[#This Row],[TS LA O 08.05.22 Rang]],$AJ$16:$AK$111,2,0)*N$5," ")</f>
        <v xml:space="preserve"> </v>
      </c>
      <c r="O58" s="109" t="str">
        <f>IFERROR(VLOOKUP(Open[[#This Row],[TS SG O 25.05.22 Rang]],$AJ$16:$AK$111,2,0)*O$5," ")</f>
        <v xml:space="preserve"> </v>
      </c>
      <c r="P58" s="109">
        <f>IFERROR(VLOOKUP(Open[[#This Row],[TS SH O 25.06.22 Rang]],$AJ$16:$AK$111,2,0)*P$5," ")</f>
        <v>148</v>
      </c>
      <c r="Q58" s="109">
        <f>IFERROR(VLOOKUP(Open[[#This Row],[TS ZH O/A 25.06.22 Rang]],$AJ$16:$AK$111,2,0)*Q$5," ")</f>
        <v>142</v>
      </c>
      <c r="R58" s="109" t="str">
        <f>IFERROR(VLOOKUP(Open[[#This Row],[TS ZH O/B 25.06.22 Rang]],$AJ$16:$AK$111,2,0)*R$5," ")</f>
        <v xml:space="preserve"> </v>
      </c>
      <c r="S58" s="109">
        <f>IFERROR(VLOOKUP(Open[[#This Row],[SM BE O/A 09.07.22 Rang]],$AJ$16:$AK$111,2,0)*S$5," ")</f>
        <v>62.400000000000006</v>
      </c>
      <c r="T58" s="109" t="str">
        <f>IFERROR(VLOOKUP(Open[[#This Row],[SM BE O/B 09.07.22 Rang]],$AJ$16:$AK$111,2,0)*T$5," ")</f>
        <v xml:space="preserve"> </v>
      </c>
      <c r="U58" s="11">
        <v>0</v>
      </c>
      <c r="V58" s="11">
        <v>0</v>
      </c>
      <c r="W58" s="11">
        <v>0</v>
      </c>
      <c r="X58" s="62">
        <v>17</v>
      </c>
      <c r="Y58" s="191"/>
      <c r="Z58" s="191"/>
      <c r="AA58" s="191"/>
      <c r="AB58" s="201">
        <v>11</v>
      </c>
      <c r="AC58" s="201">
        <v>11</v>
      </c>
      <c r="AD58" s="191"/>
      <c r="AE58" s="201">
        <v>19</v>
      </c>
      <c r="AF58" s="191"/>
      <c r="AG58" s="161"/>
      <c r="AH58" s="161"/>
      <c r="AI58" s="161"/>
      <c r="AJ58" s="163">
        <v>42</v>
      </c>
      <c r="AK58" s="163">
        <v>20</v>
      </c>
      <c r="AL58" s="161"/>
      <c r="AM58" s="17"/>
      <c r="AN58" s="17"/>
      <c r="AO58" s="17"/>
      <c r="AP58" s="17"/>
      <c r="AQ58" s="17"/>
      <c r="AR58" s="17"/>
      <c r="AS58" s="16"/>
      <c r="AT58" s="16"/>
      <c r="AU58" s="16"/>
      <c r="AV58" s="16"/>
      <c r="AW58"/>
      <c r="AX58" s="16"/>
      <c r="AY58" s="16"/>
      <c r="AZ58" s="16"/>
      <c r="BA58" s="16"/>
      <c r="BD58" s="16"/>
      <c r="BE58" s="16"/>
      <c r="BF58" s="16"/>
      <c r="BG58" s="16"/>
      <c r="BH58" s="16"/>
      <c r="BI58" s="16"/>
    </row>
    <row r="59" spans="1:61" s="4" customFormat="1" x14ac:dyDescent="0.2">
      <c r="A59" s="11">
        <v>48</v>
      </c>
      <c r="B59" s="11">
        <f>IF(Open[[#This Row],[PR Rang beim letzten Turnier]]&gt;Open[[#This Row],[PR Rang]],1,IF(Open[[#This Row],[PR Rang beim letzten Turnier]]=Open[[#This Row],[PR Rang]],0,-1))</f>
        <v>-1</v>
      </c>
      <c r="C59" s="147">
        <f>RANK(Open[[#This Row],[PR Punkte]],Open[PR Punkte],0)</f>
        <v>52</v>
      </c>
      <c r="D59" s="9" t="s">
        <v>134</v>
      </c>
      <c r="E59" s="9" t="s">
        <v>8</v>
      </c>
      <c r="F59" s="109">
        <f>SUM(Open[[#This Row],[PR 1]:[PR 3]])</f>
        <v>352.4</v>
      </c>
      <c r="G59" s="109">
        <f>LARGE(Open[[#This Row],[TS SH O 22.02.22]:[PR3]],1)</f>
        <v>148</v>
      </c>
      <c r="H59" s="109">
        <f>LARGE(Open[[#This Row],[TS SH O 22.02.22]:[PR3]],2)</f>
        <v>142</v>
      </c>
      <c r="I59" s="109">
        <f>LARGE(Open[[#This Row],[TS SH O 22.02.22]:[PR3]],3)</f>
        <v>62.400000000000006</v>
      </c>
      <c r="J59" s="9">
        <f>RANK(K59,$K$7:$K$295,0)</f>
        <v>50</v>
      </c>
      <c r="K59" s="109">
        <f>SUM(L59:W59)</f>
        <v>399.79999999999995</v>
      </c>
      <c r="L59" s="109" t="str">
        <f>IFERROR(VLOOKUP(Open[[#This Row],[TS SH 22.02.22 Rang]],$AJ$16:$AK$111,2,0)*L$5," ")</f>
        <v xml:space="preserve"> </v>
      </c>
      <c r="M59" s="109" t="str">
        <f>IFERROR(VLOOKUP(Open[[#This Row],[TS SH O 23.04.22 Rang]],$AJ$16:$AK$111,2,0)*M$5," ")</f>
        <v xml:space="preserve"> </v>
      </c>
      <c r="N59" s="109">
        <f>IFERROR(VLOOKUP(Open[[#This Row],[TS LA O 08.05.22 Rang]],$AJ$16:$AK$111,2,0)*N$5," ")</f>
        <v>47.400000000000006</v>
      </c>
      <c r="O59" s="109">
        <f>IFERROR(VLOOKUP(Open[[#This Row],[TS SG O 25.05.22 Rang]],$AJ$16:$AK$111,2,0)*O$5," ")</f>
        <v>148</v>
      </c>
      <c r="P59" s="109" t="str">
        <f>IFERROR(VLOOKUP(Open[[#This Row],[TS SH O 25.06.22 Rang]],$AJ$16:$AK$111,2,0)*P$5," ")</f>
        <v xml:space="preserve"> </v>
      </c>
      <c r="Q59" s="109">
        <f>IFERROR(VLOOKUP(Open[[#This Row],[TS ZH O/A 25.06.22 Rang]],$AJ$16:$AK$111,2,0)*Q$5," ")</f>
        <v>142</v>
      </c>
      <c r="R59" s="109" t="str">
        <f>IFERROR(VLOOKUP(Open[[#This Row],[TS ZH O/B 25.06.22 Rang]],$AJ$16:$AK$111,2,0)*R$5," ")</f>
        <v xml:space="preserve"> </v>
      </c>
      <c r="S59" s="109">
        <f>IFERROR(VLOOKUP(Open[[#This Row],[SM BE O/A 09.07.22 Rang]],$AJ$16:$AK$111,2,0)*S$5," ")</f>
        <v>62.400000000000006</v>
      </c>
      <c r="T59" s="109" t="str">
        <f>IFERROR(VLOOKUP(Open[[#This Row],[SM BE O/B 09.07.22 Rang]],$AJ$16:$AK$111,2,0)*T$5," ")</f>
        <v xml:space="preserve"> </v>
      </c>
      <c r="U59" s="11">
        <v>0</v>
      </c>
      <c r="V59" s="11">
        <v>0</v>
      </c>
      <c r="W59" s="11">
        <v>0</v>
      </c>
      <c r="X59" s="129"/>
      <c r="Y59" s="191"/>
      <c r="Z59" s="191">
        <v>18</v>
      </c>
      <c r="AA59" s="191">
        <v>13</v>
      </c>
      <c r="AB59" s="191"/>
      <c r="AC59" s="191">
        <v>14</v>
      </c>
      <c r="AD59" s="191"/>
      <c r="AE59" s="191">
        <v>26</v>
      </c>
      <c r="AF59" s="191"/>
      <c r="AG59" s="161"/>
      <c r="AH59" s="161"/>
      <c r="AI59" s="161"/>
      <c r="AJ59" s="163">
        <v>43</v>
      </c>
      <c r="AK59" s="163">
        <v>20</v>
      </c>
      <c r="AL59" s="161"/>
      <c r="AM59" s="17"/>
      <c r="AN59" s="17"/>
      <c r="AO59" s="17"/>
      <c r="AP59" s="17"/>
      <c r="AQ59" s="17"/>
      <c r="AR59" s="17"/>
      <c r="AS59" s="16"/>
      <c r="AT59" s="16"/>
      <c r="AU59" s="16"/>
      <c r="AV59" s="16"/>
      <c r="AW59"/>
      <c r="AX59" s="16"/>
      <c r="AY59" s="16"/>
      <c r="AZ59" s="16"/>
      <c r="BA59" s="16"/>
      <c r="BD59" s="16"/>
      <c r="BE59" s="16"/>
      <c r="BF59" s="16"/>
      <c r="BG59" s="16"/>
      <c r="BH59" s="16"/>
      <c r="BI59" s="16"/>
    </row>
    <row r="60" spans="1:61" s="4" customFormat="1" x14ac:dyDescent="0.2">
      <c r="A60" s="11">
        <v>48</v>
      </c>
      <c r="B60" s="11">
        <f>IF(Open[[#This Row],[PR Rang beim letzten Turnier]]&gt;Open[[#This Row],[PR Rang]],1,IF(Open[[#This Row],[PR Rang beim letzten Turnier]]=Open[[#This Row],[PR Rang]],0,-1))</f>
        <v>-1</v>
      </c>
      <c r="C60" s="147">
        <f>RANK(Open[[#This Row],[PR Punkte]],Open[PR Punkte],0)</f>
        <v>52</v>
      </c>
      <c r="D60" s="9" t="s">
        <v>523</v>
      </c>
      <c r="E60" s="9" t="s">
        <v>8</v>
      </c>
      <c r="F60" s="109">
        <f>SUM(Open[[#This Row],[PR 1]:[PR 3]])</f>
        <v>352.4</v>
      </c>
      <c r="G60" s="109">
        <f>LARGE(Open[[#This Row],[TS SH O 22.02.22]:[PR3]],1)</f>
        <v>148</v>
      </c>
      <c r="H60" s="109">
        <f>LARGE(Open[[#This Row],[TS SH O 22.02.22]:[PR3]],2)</f>
        <v>142</v>
      </c>
      <c r="I60" s="109">
        <f>LARGE(Open[[#This Row],[TS SH O 22.02.22]:[PR3]],3)</f>
        <v>62.400000000000006</v>
      </c>
      <c r="J60" s="9">
        <f>RANK(K60,$K$7:$K$361,0)</f>
        <v>50</v>
      </c>
      <c r="K60" s="109">
        <f>SUM(L60:W60)</f>
        <v>399.79999999999995</v>
      </c>
      <c r="L60" s="109"/>
      <c r="M60" s="109" t="str">
        <f>IFERROR(VLOOKUP(Open[[#This Row],[TS SH O 23.04.22 Rang]],$AJ$16:$AK$111,2,0)*M$5," ")</f>
        <v xml:space="preserve"> </v>
      </c>
      <c r="N60" s="109">
        <f>IFERROR(VLOOKUP(Open[[#This Row],[TS LA O 08.05.22 Rang]],$AJ$16:$AK$111,2,0)*N$5," ")</f>
        <v>47.400000000000006</v>
      </c>
      <c r="O60" s="109">
        <f>IFERROR(VLOOKUP(Open[[#This Row],[TS SG O 25.05.22 Rang]],$AJ$16:$AK$111,2,0)*O$5," ")</f>
        <v>148</v>
      </c>
      <c r="P60" s="109" t="str">
        <f>IFERROR(VLOOKUP(Open[[#This Row],[TS SH O 25.06.22 Rang]],$AJ$16:$AK$111,2,0)*P$5," ")</f>
        <v xml:space="preserve"> </v>
      </c>
      <c r="Q60" s="109">
        <f>IFERROR(VLOOKUP(Open[[#This Row],[TS ZH O/A 25.06.22 Rang]],$AJ$16:$AK$111,2,0)*Q$5," ")</f>
        <v>142</v>
      </c>
      <c r="R60" s="109" t="str">
        <f>IFERROR(VLOOKUP(Open[[#This Row],[TS ZH O/B 25.06.22 Rang]],$AJ$16:$AK$111,2,0)*R$5," ")</f>
        <v xml:space="preserve"> </v>
      </c>
      <c r="S60" s="109">
        <f>IFERROR(VLOOKUP(Open[[#This Row],[SM BE O/A 09.07.22 Rang]],$AJ$16:$AK$111,2,0)*S$5," ")</f>
        <v>62.400000000000006</v>
      </c>
      <c r="T60" s="109" t="str">
        <f>IFERROR(VLOOKUP(Open[[#This Row],[SM BE O/B 09.07.22 Rang]],$AJ$16:$AK$111,2,0)*T$5," ")</f>
        <v xml:space="preserve"> </v>
      </c>
      <c r="U60" s="11">
        <v>0</v>
      </c>
      <c r="V60" s="11">
        <v>0</v>
      </c>
      <c r="W60" s="11">
        <v>0</v>
      </c>
      <c r="X60" s="129"/>
      <c r="Y60" s="191"/>
      <c r="Z60" s="191">
        <v>18</v>
      </c>
      <c r="AA60" s="191">
        <v>13</v>
      </c>
      <c r="AB60" s="191"/>
      <c r="AC60" s="191">
        <v>14</v>
      </c>
      <c r="AD60" s="191"/>
      <c r="AE60" s="191">
        <v>26</v>
      </c>
      <c r="AF60" s="191"/>
      <c r="AG60" s="17"/>
      <c r="AH60" s="17"/>
      <c r="AI60" s="17"/>
      <c r="AJ60" s="155">
        <v>44</v>
      </c>
      <c r="AK60" s="155">
        <v>20</v>
      </c>
      <c r="AL60" s="17"/>
      <c r="AM60" s="17"/>
      <c r="AN60" s="17"/>
      <c r="AO60" s="17"/>
      <c r="AP60" s="17"/>
      <c r="AQ60" s="17"/>
      <c r="AR60" s="17"/>
      <c r="AS60" s="16"/>
      <c r="AT60" s="16"/>
      <c r="AU60" s="16"/>
      <c r="AV60" s="16"/>
      <c r="AW60" s="16"/>
      <c r="AX60" s="16"/>
      <c r="AY60" s="16"/>
      <c r="AZ60" s="16"/>
      <c r="BA60" s="16"/>
      <c r="BD60" s="16"/>
      <c r="BE60" s="16"/>
      <c r="BF60" s="16"/>
      <c r="BG60" s="16"/>
      <c r="BH60" s="16"/>
      <c r="BI60" s="16"/>
    </row>
    <row r="61" spans="1:61" s="4" customFormat="1" x14ac:dyDescent="0.2">
      <c r="A61" s="86">
        <v>50</v>
      </c>
      <c r="B61" s="86">
        <f>IF(Open[[#This Row],[PR Rang beim letzten Turnier]]&gt;Open[[#This Row],[PR Rang]],1,IF(Open[[#This Row],[PR Rang beim letzten Turnier]]=Open[[#This Row],[PR Rang]],0,-1))</f>
        <v>-1</v>
      </c>
      <c r="C61" s="194">
        <f>RANK(Open[[#This Row],[PR Punkte]],Open[PR Punkte],0)</f>
        <v>52</v>
      </c>
      <c r="D61" s="9" t="s">
        <v>581</v>
      </c>
      <c r="E61" s="11" t="s">
        <v>8</v>
      </c>
      <c r="F61" s="195">
        <f>SUM(Open[[#This Row],[PR 1]:[PR 3]])</f>
        <v>352.4</v>
      </c>
      <c r="G61" s="109">
        <f>LARGE(Open[[#This Row],[TS SH O 22.02.22]:[PR3]],1)</f>
        <v>148</v>
      </c>
      <c r="H61" s="109">
        <f>LARGE(Open[[#This Row],[TS SH O 22.02.22]:[PR3]],2)</f>
        <v>142</v>
      </c>
      <c r="I61" s="109">
        <f>LARGE(Open[[#This Row],[TS SH O 22.02.22]:[PR3]],3)</f>
        <v>62.400000000000006</v>
      </c>
      <c r="J61" s="196">
        <f>RANK(K61,$K$7:$K$361,0)</f>
        <v>52</v>
      </c>
      <c r="K61" s="109">
        <f>SUM(L61:W61)</f>
        <v>396.79999999999995</v>
      </c>
      <c r="L61" s="109"/>
      <c r="M61" s="109" t="str">
        <f>IFERROR(VLOOKUP(Open[[#This Row],[TS SH O 23.04.22 Rang]],$AJ$16:$AK$111,2,0)*M$5," ")</f>
        <v xml:space="preserve"> </v>
      </c>
      <c r="N61" s="109" t="str">
        <f>IFERROR(VLOOKUP(Open[[#This Row],[TS LA O 08.05.22 Rang]],$AJ$16:$AK$111,2,0)*N$5," ")</f>
        <v xml:space="preserve"> </v>
      </c>
      <c r="O61" s="109">
        <f>IFERROR(VLOOKUP(Open[[#This Row],[TS SG O 25.05.22 Rang]],$AJ$16:$AK$111,2,0)*O$5," ")</f>
        <v>44.4</v>
      </c>
      <c r="P61" s="109">
        <f>IFERROR(VLOOKUP(Open[[#This Row],[TS SH O 25.06.22 Rang]],$AJ$16:$AK$111,2,0)*P$5," ")</f>
        <v>148</v>
      </c>
      <c r="Q61" s="109">
        <f>IFERROR(VLOOKUP(Open[[#This Row],[TS ZH O/A 25.06.22 Rang]],$AJ$16:$AK$111,2,0)*Q$5," ")</f>
        <v>142</v>
      </c>
      <c r="R61" s="109" t="str">
        <f>IFERROR(VLOOKUP(Open[[#This Row],[TS ZH O/B 25.06.22 Rang]],$AJ$16:$AK$111,2,0)*R$5," ")</f>
        <v xml:space="preserve"> </v>
      </c>
      <c r="S61" s="109">
        <f>IFERROR(VLOOKUP(Open[[#This Row],[SM BE O/A 09.07.22 Rang]],$AJ$16:$AK$111,2,0)*S$5," ")</f>
        <v>62.400000000000006</v>
      </c>
      <c r="T61" s="109" t="str">
        <f>IFERROR(VLOOKUP(Open[[#This Row],[SM BE O/B 09.07.22 Rang]],$AJ$16:$AK$111,2,0)*T$5," ")</f>
        <v xml:space="preserve"> </v>
      </c>
      <c r="U61" s="11">
        <v>0</v>
      </c>
      <c r="V61" s="11">
        <v>0</v>
      </c>
      <c r="W61" s="11">
        <v>0</v>
      </c>
      <c r="X61" s="129"/>
      <c r="Y61" s="191"/>
      <c r="Z61" s="191"/>
      <c r="AA61" s="191">
        <v>19</v>
      </c>
      <c r="AB61" s="191">
        <v>14</v>
      </c>
      <c r="AC61" s="191">
        <v>15</v>
      </c>
      <c r="AD61" s="191"/>
      <c r="AE61" s="191">
        <v>32</v>
      </c>
      <c r="AF61" s="191"/>
      <c r="AG61" s="17"/>
      <c r="AH61" s="17"/>
      <c r="AI61" s="17"/>
      <c r="AJ61" s="155">
        <v>45</v>
      </c>
      <c r="AK61" s="155">
        <v>20</v>
      </c>
      <c r="AL61" s="17"/>
      <c r="AM61" s="17"/>
      <c r="AN61" s="17"/>
      <c r="AO61" s="17"/>
      <c r="AP61" s="17"/>
      <c r="AQ61" s="17"/>
      <c r="AR61" s="17"/>
      <c r="AS61" s="16"/>
      <c r="AT61" s="16"/>
      <c r="AU61" s="16"/>
      <c r="AV61" s="16"/>
      <c r="AW61" s="16"/>
      <c r="AX61" s="16"/>
      <c r="AY61" s="16"/>
      <c r="AZ61" s="16"/>
      <c r="BA61" s="16"/>
      <c r="BD61" s="16"/>
      <c r="BE61" s="16"/>
      <c r="BF61" s="16"/>
      <c r="BG61" s="16"/>
      <c r="BH61" s="16"/>
      <c r="BI61" s="16"/>
    </row>
    <row r="62" spans="1:61" s="4" customFormat="1" x14ac:dyDescent="0.2">
      <c r="A62" s="11">
        <v>56</v>
      </c>
      <c r="B62" s="11">
        <f>IF(Open[[#This Row],[PR Rang beim letzten Turnier]]&gt;Open[[#This Row],[PR Rang]],1,IF(Open[[#This Row],[PR Rang beim letzten Turnier]]=Open[[#This Row],[PR Rang]],0,-1))</f>
        <v>0</v>
      </c>
      <c r="C62" s="147">
        <f>RANK(Open[[#This Row],[PR Punkte]],Open[PR Punkte],0)</f>
        <v>56</v>
      </c>
      <c r="D62" s="25" t="s">
        <v>375</v>
      </c>
      <c r="E62" s="31" t="s">
        <v>13</v>
      </c>
      <c r="F62" s="109">
        <f>SUM(Open[[#This Row],[PR 1]:[PR 3]])</f>
        <v>346.4</v>
      </c>
      <c r="G62" s="109">
        <f>LARGE(Open[[#This Row],[TS SH O 22.02.22]:[PR3]],1)</f>
        <v>284</v>
      </c>
      <c r="H62" s="109">
        <f>LARGE(Open[[#This Row],[TS SH O 22.02.22]:[PR3]],2)</f>
        <v>62.400000000000006</v>
      </c>
      <c r="I62" s="109">
        <f>LARGE(Open[[#This Row],[TS SH O 22.02.22]:[PR3]],3)</f>
        <v>0</v>
      </c>
      <c r="J62" s="31">
        <f>RANK(K62,$K$7:$K$295,0)</f>
        <v>56</v>
      </c>
      <c r="K62" s="109">
        <f>SUM(L62:W62)</f>
        <v>346.4</v>
      </c>
      <c r="L62" s="109" t="str">
        <f>IFERROR(VLOOKUP(Open[[#This Row],[TS SH 22.02.22 Rang]],$AJ$16:$AK$111,2,0)*L$5," ")</f>
        <v xml:space="preserve"> </v>
      </c>
      <c r="M62" s="109" t="str">
        <f>IFERROR(VLOOKUP(Open[[#This Row],[TS SH O 23.04.22 Rang]],$AJ$16:$AK$111,2,0)*M$5," ")</f>
        <v xml:space="preserve"> </v>
      </c>
      <c r="N62" s="109" t="str">
        <f>IFERROR(VLOOKUP(Open[[#This Row],[TS LA O 08.05.22 Rang]],$AJ$16:$AK$111,2,0)*N$5," ")</f>
        <v xml:space="preserve"> </v>
      </c>
      <c r="O62" s="109" t="str">
        <f>IFERROR(VLOOKUP(Open[[#This Row],[TS SG O 25.05.22 Rang]],$AJ$16:$AK$111,2,0)*O$5," ")</f>
        <v xml:space="preserve"> </v>
      </c>
      <c r="P62" s="109" t="str">
        <f>IFERROR(VLOOKUP(Open[[#This Row],[TS SH O 25.06.22 Rang]],$AJ$16:$AK$111,2,0)*P$5," ")</f>
        <v xml:space="preserve"> </v>
      </c>
      <c r="Q62" s="109">
        <f>IFERROR(VLOOKUP(Open[[#This Row],[TS ZH O/A 25.06.22 Rang]],$AJ$16:$AK$111,2,0)*Q$5," ")</f>
        <v>284</v>
      </c>
      <c r="R62" s="109" t="str">
        <f>IFERROR(VLOOKUP(Open[[#This Row],[TS ZH O/B 25.06.22 Rang]],$AJ$16:$AK$111,2,0)*R$5," ")</f>
        <v xml:space="preserve"> </v>
      </c>
      <c r="S62" s="109">
        <f>IFERROR(VLOOKUP(Open[[#This Row],[SM BE O/A 09.07.22 Rang]],$AJ$16:$AK$111,2,0)*S$5," ")</f>
        <v>62.400000000000006</v>
      </c>
      <c r="T62" s="109" t="str">
        <f>IFERROR(VLOOKUP(Open[[#This Row],[SM BE O/B 09.07.22 Rang]],$AJ$16:$AK$111,2,0)*T$5," ")</f>
        <v xml:space="preserve"> </v>
      </c>
      <c r="U62" s="11">
        <v>0</v>
      </c>
      <c r="V62" s="11">
        <v>0</v>
      </c>
      <c r="W62" s="11">
        <v>0</v>
      </c>
      <c r="X62" s="129"/>
      <c r="Y62" s="191"/>
      <c r="Z62" s="191"/>
      <c r="AA62" s="191"/>
      <c r="AB62" s="191"/>
      <c r="AC62" s="191">
        <v>7</v>
      </c>
      <c r="AD62" s="191"/>
      <c r="AE62" s="191">
        <v>21</v>
      </c>
      <c r="AF62" s="191"/>
      <c r="AG62" s="17"/>
      <c r="AH62" s="17"/>
      <c r="AI62" s="17"/>
      <c r="AJ62" s="155">
        <v>46</v>
      </c>
      <c r="AK62" s="155">
        <v>20</v>
      </c>
      <c r="AL62" s="17"/>
      <c r="AM62" s="17"/>
      <c r="AN62" s="17"/>
      <c r="AO62" s="17"/>
      <c r="AP62" s="17"/>
      <c r="AQ62" s="17"/>
      <c r="AR62" s="17"/>
      <c r="AS62" s="16"/>
      <c r="AT62" s="16"/>
      <c r="AU62" s="16"/>
      <c r="AV62" s="16"/>
      <c r="AW62" s="16"/>
      <c r="AX62" s="16"/>
      <c r="AY62" s="16"/>
      <c r="AZ62" s="16"/>
      <c r="BA62" s="16"/>
      <c r="BD62" s="16"/>
      <c r="BE62" s="16"/>
      <c r="BF62" s="16"/>
      <c r="BG62" s="16"/>
      <c r="BH62" s="16"/>
      <c r="BI62" s="16"/>
    </row>
    <row r="63" spans="1:61" s="4" customFormat="1" x14ac:dyDescent="0.2">
      <c r="A63" s="11">
        <v>59</v>
      </c>
      <c r="B63" s="11">
        <f>IF(Open[[#This Row],[PR Rang beim letzten Turnier]]&gt;Open[[#This Row],[PR Rang]],1,IF(Open[[#This Row],[PR Rang beim letzten Turnier]]=Open[[#This Row],[PR Rang]],0,-1))</f>
        <v>1</v>
      </c>
      <c r="C63" s="147">
        <f>RANK(Open[[#This Row],[PR Punkte]],Open[PR Punkte],0)</f>
        <v>57</v>
      </c>
      <c r="D63" s="31" t="s">
        <v>84</v>
      </c>
      <c r="E63" s="9" t="s">
        <v>8</v>
      </c>
      <c r="F63" s="109">
        <f>SUM(Open[[#This Row],[PR 1]:[PR 3]])</f>
        <v>307.90000000000003</v>
      </c>
      <c r="G63" s="109">
        <f>LARGE(Open[[#This Row],[TS SH O 22.02.22]:[PR3]],1)</f>
        <v>220.1</v>
      </c>
      <c r="H63" s="109">
        <f>LARGE(Open[[#This Row],[TS SH O 22.02.22]:[PR3]],2)</f>
        <v>46.2</v>
      </c>
      <c r="I63" s="109">
        <f>LARGE(Open[[#This Row],[TS SH O 22.02.22]:[PR3]],3)</f>
        <v>41.6</v>
      </c>
      <c r="J63" s="9">
        <f>RANK(K63,$K$7:$K$295,0)</f>
        <v>57</v>
      </c>
      <c r="K63" s="109">
        <f>SUM(L63:W63)</f>
        <v>307.90000000000003</v>
      </c>
      <c r="L63" s="109" t="str">
        <f>IFERROR(VLOOKUP(Open[[#This Row],[TS SH 22.02.22 Rang]],$AJ$16:$AK$111,2,0)*L$5," ")</f>
        <v xml:space="preserve"> </v>
      </c>
      <c r="M63" s="109">
        <f>IFERROR(VLOOKUP(Open[[#This Row],[TS SH O 23.04.22 Rang]],$AJ$16:$AK$111,2,0)*M$5," ")</f>
        <v>46.2</v>
      </c>
      <c r="N63" s="109" t="str">
        <f>IFERROR(VLOOKUP(Open[[#This Row],[TS LA O 08.05.22 Rang]],$AJ$16:$AK$111,2,0)*N$5," ")</f>
        <v xml:space="preserve"> </v>
      </c>
      <c r="O63" s="109" t="str">
        <f>IFERROR(VLOOKUP(Open[[#This Row],[TS SG O 25.05.22 Rang]],$AJ$16:$AK$111,2,0)*O$5," ")</f>
        <v xml:space="preserve"> </v>
      </c>
      <c r="P63" s="109" t="str">
        <f>IFERROR(VLOOKUP(Open[[#This Row],[TS SH O 25.06.22 Rang]],$AJ$16:$AK$111,2,0)*P$5," ")</f>
        <v xml:space="preserve"> </v>
      </c>
      <c r="Q63" s="109">
        <f>IFERROR(VLOOKUP(Open[[#This Row],[TS ZH O/A 25.06.22 Rang]],$AJ$16:$AK$111,2,0)*Q$5," ")</f>
        <v>220.1</v>
      </c>
      <c r="R63" s="109" t="str">
        <f>IFERROR(VLOOKUP(Open[[#This Row],[TS ZH O/B 25.06.22 Rang]],$AJ$16:$AK$111,2,0)*R$5," ")</f>
        <v xml:space="preserve"> </v>
      </c>
      <c r="S63" s="109">
        <f>IFERROR(VLOOKUP(Open[[#This Row],[SM BE O/A 09.07.22 Rang]],$AJ$16:$AK$111,2,0)*S$5," ")</f>
        <v>41.6</v>
      </c>
      <c r="T63" s="109" t="str">
        <f>IFERROR(VLOOKUP(Open[[#This Row],[SM BE O/B 09.07.22 Rang]],$AJ$16:$AK$111,2,0)*T$5," ")</f>
        <v xml:space="preserve"> </v>
      </c>
      <c r="U63" s="11">
        <v>0</v>
      </c>
      <c r="V63" s="11">
        <v>0</v>
      </c>
      <c r="W63" s="11">
        <v>0</v>
      </c>
      <c r="X63" s="129"/>
      <c r="Y63" s="191">
        <v>23</v>
      </c>
      <c r="Z63" s="191"/>
      <c r="AA63" s="191"/>
      <c r="AB63" s="191"/>
      <c r="AC63" s="191">
        <v>8</v>
      </c>
      <c r="AD63" s="191"/>
      <c r="AE63" s="191">
        <v>34</v>
      </c>
      <c r="AF63" s="191"/>
      <c r="AG63" s="17"/>
      <c r="AH63" s="17"/>
      <c r="AI63" s="17"/>
      <c r="AJ63" s="155">
        <v>47</v>
      </c>
      <c r="AK63" s="155">
        <v>20</v>
      </c>
      <c r="AL63" s="17"/>
      <c r="AM63" s="17"/>
      <c r="AN63" s="17"/>
      <c r="AO63" s="17"/>
      <c r="AP63" s="17"/>
      <c r="AQ63" s="17"/>
      <c r="AR63" s="17"/>
      <c r="AS63" s="16"/>
      <c r="AT63" s="16"/>
      <c r="AU63" s="16"/>
      <c r="AV63" s="16"/>
      <c r="AW63" s="16"/>
      <c r="AX63" s="16"/>
      <c r="AY63" s="16"/>
      <c r="AZ63" s="16"/>
      <c r="BA63" s="16"/>
      <c r="BD63" s="16"/>
      <c r="BE63" s="16"/>
      <c r="BF63" s="16"/>
      <c r="BG63" s="16"/>
      <c r="BH63" s="16"/>
      <c r="BI63" s="16"/>
    </row>
    <row r="64" spans="1:61" s="4" customFormat="1" x14ac:dyDescent="0.2">
      <c r="A64" s="11">
        <v>52</v>
      </c>
      <c r="B64" s="11">
        <f>IF(Open[[#This Row],[PR Rang beim letzten Turnier]]&gt;Open[[#This Row],[PR Rang]],1,IF(Open[[#This Row],[PR Rang beim letzten Turnier]]=Open[[#This Row],[PR Rang]],0,-1))</f>
        <v>-1</v>
      </c>
      <c r="C64" s="147">
        <f>RANK(Open[[#This Row],[PR Punkte]],Open[PR Punkte],0)</f>
        <v>58</v>
      </c>
      <c r="D64" s="15" t="s">
        <v>219</v>
      </c>
      <c r="E64" s="11" t="s">
        <v>374</v>
      </c>
      <c r="F64" s="109">
        <f>SUM(Open[[#This Row],[PR 1]:[PR 3]])</f>
        <v>302</v>
      </c>
      <c r="G64" s="109">
        <f>LARGE(Open[[#This Row],[TS SH O 22.02.22]:[PR3]],1)</f>
        <v>154</v>
      </c>
      <c r="H64" s="109">
        <f>LARGE(Open[[#This Row],[TS SH O 22.02.22]:[PR3]],2)</f>
        <v>148</v>
      </c>
      <c r="I64" s="109">
        <f>LARGE(Open[[#This Row],[TS SH O 22.02.22]:[PR3]],3)</f>
        <v>0</v>
      </c>
      <c r="J64" s="31">
        <f>RANK(K64,$K$7:$K$295,0)</f>
        <v>58</v>
      </c>
      <c r="K64" s="109">
        <f>SUM(L64:W64)</f>
        <v>302</v>
      </c>
      <c r="L64" s="109" t="str">
        <f>IFERROR(VLOOKUP(Open[[#This Row],[TS SH 22.02.22 Rang]],$AJ$16:$AK$111,2,0)*L$5," ")</f>
        <v xml:space="preserve"> </v>
      </c>
      <c r="M64" s="109">
        <f>IFERROR(VLOOKUP(Open[[#This Row],[TS SH O 23.04.22 Rang]],$AJ$16:$AK$111,2,0)*M$5," ")</f>
        <v>154</v>
      </c>
      <c r="N64" s="109" t="str">
        <f>IFERROR(VLOOKUP(Open[[#This Row],[TS LA O 08.05.22 Rang]],$AJ$16:$AK$111,2,0)*N$5," ")</f>
        <v xml:space="preserve"> </v>
      </c>
      <c r="O64" s="109" t="str">
        <f>IFERROR(VLOOKUP(Open[[#This Row],[TS SG O 25.05.22 Rang]],$AJ$16:$AK$111,2,0)*O$5," ")</f>
        <v xml:space="preserve"> </v>
      </c>
      <c r="P64" s="109">
        <f>IFERROR(VLOOKUP(Open[[#This Row],[TS SH O 25.06.22 Rang]],$AJ$16:$AK$111,2,0)*P$5," ")</f>
        <v>148</v>
      </c>
      <c r="Q64" s="109" t="str">
        <f>IFERROR(VLOOKUP(Open[[#This Row],[TS ZH O/A 25.06.22 Rang]],$AJ$16:$AK$111,2,0)*Q$5," ")</f>
        <v xml:space="preserve"> </v>
      </c>
      <c r="R64" s="109" t="str">
        <f>IFERROR(VLOOKUP(Open[[#This Row],[TS ZH O/B 25.06.22 Rang]],$AJ$16:$AK$111,2,0)*R$5," ")</f>
        <v xml:space="preserve"> </v>
      </c>
      <c r="S64" s="109" t="str">
        <f>IFERROR(VLOOKUP(Open[[#This Row],[SM BE O/A 09.07.22 Rang]],$AJ$16:$AK$111,2,0)*S$5," ")</f>
        <v xml:space="preserve"> </v>
      </c>
      <c r="T64" s="109" t="str">
        <f>IFERROR(VLOOKUP(Open[[#This Row],[SM BE O/B 09.07.22 Rang]],$AJ$16:$AK$111,2,0)*T$5," ")</f>
        <v xml:space="preserve"> </v>
      </c>
      <c r="U64" s="11">
        <v>0</v>
      </c>
      <c r="V64" s="11">
        <v>0</v>
      </c>
      <c r="W64" s="11">
        <v>0</v>
      </c>
      <c r="X64" s="129"/>
      <c r="Y64" s="191">
        <v>16</v>
      </c>
      <c r="Z64" s="191"/>
      <c r="AA64" s="191"/>
      <c r="AB64" s="191">
        <v>15</v>
      </c>
      <c r="AC64" s="191"/>
      <c r="AD64" s="191"/>
      <c r="AE64" s="191"/>
      <c r="AF64" s="191"/>
      <c r="AG64" s="17"/>
      <c r="AH64" s="17"/>
      <c r="AI64" s="17"/>
      <c r="AJ64" s="155">
        <v>48</v>
      </c>
      <c r="AK64" s="155">
        <v>20</v>
      </c>
      <c r="AL64" s="17"/>
      <c r="AM64" s="17"/>
      <c r="AN64" s="17"/>
      <c r="AO64" s="17"/>
      <c r="AP64" s="17"/>
      <c r="AQ64" s="17"/>
      <c r="AR64" s="17"/>
      <c r="AS64" s="16"/>
      <c r="AT64" s="16"/>
      <c r="AU64" s="16"/>
      <c r="AV64" s="16"/>
      <c r="AW64" s="16"/>
      <c r="AX64" s="16"/>
      <c r="AY64" s="16"/>
      <c r="AZ64" s="16"/>
      <c r="BA64" s="16"/>
      <c r="BD64" s="16"/>
      <c r="BE64" s="16"/>
      <c r="BF64" s="16"/>
      <c r="BG64" s="16"/>
      <c r="BH64" s="16"/>
      <c r="BI64" s="16"/>
    </row>
    <row r="65" spans="1:61" s="4" customFormat="1" x14ac:dyDescent="0.2">
      <c r="A65" s="86">
        <v>54</v>
      </c>
      <c r="B65" s="86">
        <f>IF(Open[[#This Row],[PR Rang beim letzten Turnier]]&gt;Open[[#This Row],[PR Rang]],1,IF(Open[[#This Row],[PR Rang beim letzten Turnier]]=Open[[#This Row],[PR Rang]],0,-1))</f>
        <v>-1</v>
      </c>
      <c r="C65" s="194">
        <f>RANK(Open[[#This Row],[PR Punkte]],Open[PR Punkte],0)</f>
        <v>59</v>
      </c>
      <c r="D65" s="9" t="s">
        <v>575</v>
      </c>
      <c r="E65" s="11" t="s">
        <v>18</v>
      </c>
      <c r="F65" s="195">
        <f>SUM(Open[[#This Row],[PR 1]:[PR 3]])</f>
        <v>296</v>
      </c>
      <c r="G65" s="109">
        <f>LARGE(Open[[#This Row],[TS SH O 22.02.22]:[PR3]],1)</f>
        <v>296</v>
      </c>
      <c r="H65" s="109">
        <f>LARGE(Open[[#This Row],[TS SH O 22.02.22]:[PR3]],2)</f>
        <v>0</v>
      </c>
      <c r="I65" s="109">
        <f>LARGE(Open[[#This Row],[TS SH O 22.02.22]:[PR3]],3)</f>
        <v>0</v>
      </c>
      <c r="J65" s="196">
        <f>RANK(K65,$K$7:$K$361,0)</f>
        <v>59</v>
      </c>
      <c r="K65" s="109">
        <f>SUM(L65:W65)</f>
        <v>296</v>
      </c>
      <c r="L65" s="109"/>
      <c r="M65" s="109" t="str">
        <f>IFERROR(VLOOKUP(Open[[#This Row],[TS SH O 23.04.22 Rang]],$AJ$16:$AK$111,2,0)*M$5," ")</f>
        <v xml:space="preserve"> </v>
      </c>
      <c r="N65" s="109" t="str">
        <f>IFERROR(VLOOKUP(Open[[#This Row],[TS LA O 08.05.22 Rang]],$AJ$16:$AK$111,2,0)*N$5," ")</f>
        <v xml:space="preserve"> </v>
      </c>
      <c r="O65" s="109">
        <f>IFERROR(VLOOKUP(Open[[#This Row],[TS SG O 25.05.22 Rang]],$AJ$16:$AK$111,2,0)*O$5," ")</f>
        <v>296</v>
      </c>
      <c r="P65" s="109" t="str">
        <f>IFERROR(VLOOKUP(Open[[#This Row],[TS SH O 25.06.22 Rang]],$AJ$16:$AK$111,2,0)*P$5," ")</f>
        <v xml:space="preserve"> </v>
      </c>
      <c r="Q65" s="109" t="str">
        <f>IFERROR(VLOOKUP(Open[[#This Row],[TS ZH O/A 25.06.22 Rang]],$AJ$16:$AK$111,2,0)*Q$5," ")</f>
        <v xml:space="preserve"> </v>
      </c>
      <c r="R65" s="109" t="str">
        <f>IFERROR(VLOOKUP(Open[[#This Row],[TS ZH O/B 25.06.22 Rang]],$AJ$16:$AK$111,2,0)*R$5," ")</f>
        <v xml:space="preserve"> </v>
      </c>
      <c r="S65" s="109" t="str">
        <f>IFERROR(VLOOKUP(Open[[#This Row],[SM BE O/A 09.07.22 Rang]],$AJ$16:$AK$111,2,0)*S$5," ")</f>
        <v xml:space="preserve"> </v>
      </c>
      <c r="T65" s="109" t="str">
        <f>IFERROR(VLOOKUP(Open[[#This Row],[SM BE O/B 09.07.22 Rang]],$AJ$16:$AK$111,2,0)*T$5," ")</f>
        <v xml:space="preserve"> </v>
      </c>
      <c r="U65" s="11">
        <v>0</v>
      </c>
      <c r="V65" s="11">
        <v>0</v>
      </c>
      <c r="W65" s="11">
        <v>0</v>
      </c>
      <c r="X65" s="129"/>
      <c r="Y65" s="191"/>
      <c r="Z65" s="191"/>
      <c r="AA65" s="191">
        <v>7</v>
      </c>
      <c r="AB65" s="191"/>
      <c r="AC65" s="191"/>
      <c r="AD65" s="191"/>
      <c r="AE65" s="191"/>
      <c r="AF65" s="191"/>
      <c r="AG65" s="17"/>
      <c r="AH65" s="17"/>
      <c r="AI65" s="17"/>
      <c r="AJ65" s="155">
        <v>49</v>
      </c>
      <c r="AK65" s="155">
        <v>20</v>
      </c>
      <c r="AL65" s="17"/>
      <c r="AM65" s="17"/>
      <c r="AN65" s="17"/>
      <c r="AO65" s="17"/>
      <c r="AP65" s="17"/>
      <c r="AQ65" s="17"/>
      <c r="AR65" s="17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61" x14ac:dyDescent="0.2">
      <c r="A66" s="11">
        <v>58</v>
      </c>
      <c r="B66" s="11">
        <f>IF(Open[[#This Row],[PR Rang beim letzten Turnier]]&gt;Open[[#This Row],[PR Rang]],1,IF(Open[[#This Row],[PR Rang beim letzten Turnier]]=Open[[#This Row],[PR Rang]],0,-1))</f>
        <v>-1</v>
      </c>
      <c r="C66" s="147">
        <f>RANK(Open[[#This Row],[PR Punkte]],Open[PR Punkte],0)</f>
        <v>60</v>
      </c>
      <c r="D66" s="27" t="s">
        <v>156</v>
      </c>
      <c r="E66" s="9" t="s">
        <v>12</v>
      </c>
      <c r="F66" s="109">
        <f>SUM(Open[[#This Row],[PR 1]:[PR 3]])</f>
        <v>283.10000000000002</v>
      </c>
      <c r="G66" s="109">
        <f>LARGE(Open[[#This Row],[TS SH O 22.02.22]:[PR3]],1)</f>
        <v>238.70000000000002</v>
      </c>
      <c r="H66" s="109">
        <f>LARGE(Open[[#This Row],[TS SH O 22.02.22]:[PR3]],2)</f>
        <v>44.4</v>
      </c>
      <c r="I66" s="109">
        <f>LARGE(Open[[#This Row],[TS SH O 22.02.22]:[PR3]],3)</f>
        <v>0</v>
      </c>
      <c r="J66" s="9">
        <f>RANK(K66,$K$7:$K$295,0)</f>
        <v>60</v>
      </c>
      <c r="K66" s="109">
        <f>SUM(L66:W66)</f>
        <v>283.10000000000002</v>
      </c>
      <c r="L66" s="109" t="str">
        <f>IFERROR(VLOOKUP(Open[[#This Row],[TS SH 22.02.22 Rang]],$AJ$16:$AK$111,2,0)*L$5," ")</f>
        <v xml:space="preserve"> </v>
      </c>
      <c r="M66" s="109">
        <f>IFERROR(VLOOKUP(Open[[#This Row],[TS SH O 23.04.22 Rang]],$AJ$16:$AK$111,2,0)*M$5," ")</f>
        <v>238.70000000000002</v>
      </c>
      <c r="N66" s="109" t="str">
        <f>IFERROR(VLOOKUP(Open[[#This Row],[TS LA O 08.05.22 Rang]],$AJ$16:$AK$111,2,0)*N$5," ")</f>
        <v xml:space="preserve"> </v>
      </c>
      <c r="O66" s="109" t="str">
        <f>IFERROR(VLOOKUP(Open[[#This Row],[TS SG O 25.05.22 Rang]],$AJ$16:$AK$111,2,0)*O$5," ")</f>
        <v xml:space="preserve"> </v>
      </c>
      <c r="P66" s="109">
        <f>IFERROR(VLOOKUP(Open[[#This Row],[TS SH O 25.06.22 Rang]],$AJ$16:$AK$111,2,0)*P$5," ")</f>
        <v>44.4</v>
      </c>
      <c r="Q66" s="109" t="str">
        <f>IFERROR(VLOOKUP(Open[[#This Row],[TS ZH O/A 25.06.22 Rang]],$AJ$16:$AK$111,2,0)*Q$5," ")</f>
        <v xml:space="preserve"> </v>
      </c>
      <c r="R66" s="109" t="str">
        <f>IFERROR(VLOOKUP(Open[[#This Row],[TS ZH O/B 25.06.22 Rang]],$AJ$16:$AK$111,2,0)*R$5," ")</f>
        <v xml:space="preserve"> </v>
      </c>
      <c r="S66" s="109" t="str">
        <f>IFERROR(VLOOKUP(Open[[#This Row],[SM BE O/A 09.07.22 Rang]],$AJ$16:$AK$111,2,0)*S$5," ")</f>
        <v xml:space="preserve"> </v>
      </c>
      <c r="T66" s="109" t="str">
        <f>IFERROR(VLOOKUP(Open[[#This Row],[SM BE O/B 09.07.22 Rang]],$AJ$16:$AK$111,2,0)*T$5," ")</f>
        <v xml:space="preserve"> </v>
      </c>
      <c r="U66" s="11">
        <v>0</v>
      </c>
      <c r="V66" s="11">
        <v>0</v>
      </c>
      <c r="W66" s="11">
        <v>0</v>
      </c>
      <c r="X66" s="129"/>
      <c r="Y66" s="191">
        <v>8</v>
      </c>
      <c r="Z66" s="191"/>
      <c r="AA66" s="191"/>
      <c r="AB66" s="191">
        <v>17</v>
      </c>
      <c r="AC66" s="191"/>
      <c r="AD66" s="191"/>
      <c r="AE66" s="191"/>
      <c r="AF66" s="191"/>
      <c r="AG66" s="17"/>
      <c r="AH66" s="17"/>
      <c r="AI66" s="17"/>
      <c r="AJ66" s="155">
        <v>50</v>
      </c>
      <c r="AK66" s="155">
        <v>20</v>
      </c>
      <c r="AL66" s="17"/>
      <c r="AM66" s="17"/>
      <c r="AN66" s="17"/>
      <c r="AO66" s="17"/>
      <c r="AP66" s="17"/>
      <c r="AQ66" s="17"/>
      <c r="AR66" s="17"/>
      <c r="BB66" s="4"/>
      <c r="BC66" s="4"/>
      <c r="BD66" s="4"/>
      <c r="BE66" s="4"/>
      <c r="BF66" s="4"/>
      <c r="BG66" s="4"/>
      <c r="BH66" s="4"/>
      <c r="BI66" s="4"/>
    </row>
    <row r="67" spans="1:61" x14ac:dyDescent="0.2">
      <c r="A67" s="11">
        <v>61</v>
      </c>
      <c r="B67" s="11">
        <f>IF(Open[[#This Row],[PR Rang beim letzten Turnier]]&gt;Open[[#This Row],[PR Rang]],1,IF(Open[[#This Row],[PR Rang beim letzten Turnier]]=Open[[#This Row],[PR Rang]],0,-1))</f>
        <v>0</v>
      </c>
      <c r="C67" s="147">
        <f>RANK(Open[[#This Row],[PR Punkte]],Open[PR Punkte],0)</f>
        <v>61</v>
      </c>
      <c r="D67" s="25" t="s">
        <v>342</v>
      </c>
      <c r="E67" s="17" t="s">
        <v>16</v>
      </c>
      <c r="F67" s="109">
        <f>SUM(Open[[#This Row],[PR 1]:[PR 3]])</f>
        <v>274.60000000000002</v>
      </c>
      <c r="G67" s="109">
        <f>LARGE(Open[[#This Row],[TS SH O 22.02.22]:[PR3]],1)</f>
        <v>154</v>
      </c>
      <c r="H67" s="109">
        <f>LARGE(Open[[#This Row],[TS SH O 22.02.22]:[PR3]],2)</f>
        <v>62.400000000000006</v>
      </c>
      <c r="I67" s="109">
        <f>LARGE(Open[[#This Row],[TS SH O 22.02.22]:[PR3]],3)</f>
        <v>58.199999999999996</v>
      </c>
      <c r="J67" s="17">
        <f>RANK(K67,$K$7:$K$295,0)</f>
        <v>61</v>
      </c>
      <c r="K67" s="109">
        <f>SUM(L67:W67)</f>
        <v>274.60000000000002</v>
      </c>
      <c r="L67" s="109">
        <f>IFERROR(VLOOKUP(Open[[#This Row],[TS SH 22.02.22 Rang]],$AJ$16:$AK$111,2,0)*L$5," ")</f>
        <v>58.199999999999996</v>
      </c>
      <c r="M67" s="109">
        <f>IFERROR(VLOOKUP(Open[[#This Row],[TS SH O 23.04.22 Rang]],$AJ$16:$AK$111,2,0)*M$5," ")</f>
        <v>154</v>
      </c>
      <c r="N67" s="109" t="str">
        <f>IFERROR(VLOOKUP(Open[[#This Row],[TS LA O 08.05.22 Rang]],$AJ$16:$AK$111,2,0)*N$5," ")</f>
        <v xml:space="preserve"> </v>
      </c>
      <c r="O67" s="109" t="str">
        <f>IFERROR(VLOOKUP(Open[[#This Row],[TS SG O 25.05.22 Rang]],$AJ$16:$AK$111,2,0)*O$5," ")</f>
        <v xml:space="preserve"> </v>
      </c>
      <c r="P67" s="109" t="str">
        <f>IFERROR(VLOOKUP(Open[[#This Row],[TS SH O 25.06.22 Rang]],$AJ$16:$AK$111,2,0)*P$5," ")</f>
        <v xml:space="preserve"> </v>
      </c>
      <c r="Q67" s="109" t="str">
        <f>IFERROR(VLOOKUP(Open[[#This Row],[TS ZH O/A 25.06.22 Rang]],$AJ$16:$AK$111,2,0)*Q$5," ")</f>
        <v xml:space="preserve"> </v>
      </c>
      <c r="R67" s="109" t="str">
        <f>IFERROR(VLOOKUP(Open[[#This Row],[TS ZH O/B 25.06.22 Rang]],$AJ$16:$AK$111,2,0)*R$5," ")</f>
        <v xml:space="preserve"> </v>
      </c>
      <c r="S67" s="109">
        <f>IFERROR(VLOOKUP(Open[[#This Row],[SM BE O/A 09.07.22 Rang]],$AJ$16:$AK$111,2,0)*S$5," ")</f>
        <v>62.400000000000006</v>
      </c>
      <c r="T67" s="109" t="str">
        <f>IFERROR(VLOOKUP(Open[[#This Row],[SM BE O/B 09.07.22 Rang]],$AJ$16:$AK$111,2,0)*T$5," ")</f>
        <v xml:space="preserve"> </v>
      </c>
      <c r="U67" s="11">
        <v>0</v>
      </c>
      <c r="V67" s="11">
        <v>0</v>
      </c>
      <c r="W67" s="11">
        <v>0</v>
      </c>
      <c r="X67" s="129">
        <v>20</v>
      </c>
      <c r="Y67" s="191">
        <v>14</v>
      </c>
      <c r="Z67" s="191"/>
      <c r="AA67" s="191"/>
      <c r="AB67" s="191"/>
      <c r="AC67" s="191"/>
      <c r="AD67" s="191"/>
      <c r="AE67" s="191">
        <v>24</v>
      </c>
      <c r="AF67" s="191"/>
      <c r="AG67" s="17"/>
      <c r="AH67" s="17"/>
      <c r="AI67" s="17"/>
      <c r="AJ67" s="155">
        <v>51</v>
      </c>
      <c r="AK67" s="155">
        <v>20</v>
      </c>
      <c r="AL67" s="17"/>
      <c r="AM67" s="17"/>
      <c r="AN67" s="17"/>
      <c r="AO67" s="17"/>
      <c r="AP67" s="17"/>
      <c r="AQ67" s="17"/>
      <c r="AR67" s="17"/>
      <c r="BB67" s="4"/>
      <c r="BC67" s="4"/>
      <c r="BD67" s="4"/>
      <c r="BE67" s="4"/>
      <c r="BF67" s="4"/>
      <c r="BG67" s="4"/>
      <c r="BH67" s="4"/>
      <c r="BI67" s="4"/>
    </row>
    <row r="68" spans="1:61" x14ac:dyDescent="0.2">
      <c r="A68" s="17">
        <v>62</v>
      </c>
      <c r="B68" s="17">
        <f>IF(Open[[#This Row],[PR Rang beim letzten Turnier]]&gt;Open[[#This Row],[PR Rang]],1,IF(Open[[#This Row],[PR Rang beim letzten Turnier]]=Open[[#This Row],[PR Rang]],0,-1))</f>
        <v>0</v>
      </c>
      <c r="C68" s="112">
        <f>RANK(Open[[#This Row],[PR Punkte]],Open[PR Punkte],0)</f>
        <v>62</v>
      </c>
      <c r="D68" s="17" t="s">
        <v>55</v>
      </c>
      <c r="E68" s="11" t="s">
        <v>10</v>
      </c>
      <c r="F68" s="109">
        <f>SUM(Open[[#This Row],[PR 1]:[PR 3]])</f>
        <v>262.60000000000002</v>
      </c>
      <c r="G68" s="109">
        <f>LARGE(Open[[#This Row],[TS SH O 22.02.22]:[PR3]],1)</f>
        <v>142</v>
      </c>
      <c r="H68" s="109">
        <f>LARGE(Open[[#This Row],[TS SH O 22.02.22]:[PR3]],2)</f>
        <v>62.400000000000006</v>
      </c>
      <c r="I68" s="109">
        <f>LARGE(Open[[#This Row],[TS SH O 22.02.22]:[PR3]],3)</f>
        <v>58.199999999999996</v>
      </c>
      <c r="J68" s="11">
        <f>RANK(K68,$K$7:$K$295,0)</f>
        <v>62</v>
      </c>
      <c r="K68" s="109">
        <f>SUM(L68:W68)</f>
        <v>262.60000000000002</v>
      </c>
      <c r="L68" s="109">
        <f>IFERROR(VLOOKUP(Open[[#This Row],[TS SH 22.02.22 Rang]],$AJ$16:$AK$111,2,0)*L$5," ")</f>
        <v>58.199999999999996</v>
      </c>
      <c r="M68" s="109" t="str">
        <f>IFERROR(VLOOKUP(Open[[#This Row],[TS SH O 23.04.22 Rang]],$AJ$16:$AK$111,2,0)*M$5," ")</f>
        <v xml:space="preserve"> </v>
      </c>
      <c r="N68" s="109" t="str">
        <f>IFERROR(VLOOKUP(Open[[#This Row],[TS LA O 08.05.22 Rang]],$AJ$16:$AK$111,2,0)*N$5," ")</f>
        <v xml:space="preserve"> </v>
      </c>
      <c r="O68" s="109" t="str">
        <f>IFERROR(VLOOKUP(Open[[#This Row],[TS SG O 25.05.22 Rang]],$AJ$16:$AK$111,2,0)*O$5," ")</f>
        <v xml:space="preserve"> </v>
      </c>
      <c r="P68" s="109" t="str">
        <f>IFERROR(VLOOKUP(Open[[#This Row],[TS SH O 25.06.22 Rang]],$AJ$16:$AK$111,2,0)*P$5," ")</f>
        <v xml:space="preserve"> </v>
      </c>
      <c r="Q68" s="109">
        <f>IFERROR(VLOOKUP(Open[[#This Row],[TS ZH O/A 25.06.22 Rang]],$AJ$16:$AK$111,2,0)*Q$5," ")</f>
        <v>142</v>
      </c>
      <c r="R68" s="109" t="str">
        <f>IFERROR(VLOOKUP(Open[[#This Row],[TS ZH O/B 25.06.22 Rang]],$AJ$16:$AK$111,2,0)*R$5," ")</f>
        <v xml:space="preserve"> </v>
      </c>
      <c r="S68" s="109">
        <f>IFERROR(VLOOKUP(Open[[#This Row],[SM BE O/A 09.07.22 Rang]],$AJ$16:$AK$111,2,0)*S$5," ")</f>
        <v>62.400000000000006</v>
      </c>
      <c r="T68" s="109" t="str">
        <f>IFERROR(VLOOKUP(Open[[#This Row],[SM BE O/B 09.07.22 Rang]],$AJ$16:$AK$111,2,0)*T$5," ")</f>
        <v xml:space="preserve"> </v>
      </c>
      <c r="U68" s="11">
        <v>0</v>
      </c>
      <c r="V68" s="11">
        <v>0</v>
      </c>
      <c r="W68" s="11">
        <v>0</v>
      </c>
      <c r="X68" s="61">
        <v>17</v>
      </c>
      <c r="Y68" s="191"/>
      <c r="Z68" s="191"/>
      <c r="AA68" s="191"/>
      <c r="AB68" s="191"/>
      <c r="AC68" s="202">
        <v>9</v>
      </c>
      <c r="AD68" s="191"/>
      <c r="AE68" s="202">
        <v>18</v>
      </c>
      <c r="AF68" s="191"/>
      <c r="AG68" s="17"/>
      <c r="AH68" s="17"/>
      <c r="AI68" s="17"/>
      <c r="AJ68" s="155">
        <v>52</v>
      </c>
      <c r="AK68" s="155">
        <v>20</v>
      </c>
      <c r="AL68" s="17"/>
      <c r="AM68" s="17"/>
      <c r="AN68" s="17"/>
      <c r="AO68" s="17"/>
      <c r="AP68" s="17"/>
      <c r="AQ68" s="17"/>
      <c r="AR68" s="17"/>
      <c r="BB68" s="4"/>
      <c r="BC68" s="4"/>
      <c r="BD68" s="4"/>
      <c r="BE68" s="4"/>
      <c r="BF68" s="4"/>
      <c r="BG68" s="4"/>
      <c r="BH68" s="4"/>
      <c r="BI68" s="4"/>
    </row>
    <row r="69" spans="1:61" x14ac:dyDescent="0.2">
      <c r="A69" s="11">
        <v>64</v>
      </c>
      <c r="B69" s="11">
        <f>IF(Open[[#This Row],[PR Rang beim letzten Turnier]]&gt;Open[[#This Row],[PR Rang]],1,IF(Open[[#This Row],[PR Rang beim letzten Turnier]]=Open[[#This Row],[PR Rang]],0,-1))</f>
        <v>1</v>
      </c>
      <c r="C69" s="147">
        <f>RANK(Open[[#This Row],[PR Punkte]],Open[PR Punkte],0)</f>
        <v>63</v>
      </c>
      <c r="D69" s="31" t="s">
        <v>85</v>
      </c>
      <c r="E69" s="9" t="s">
        <v>10</v>
      </c>
      <c r="F69" s="109">
        <f>SUM(Open[[#This Row],[PR 1]:[PR 3]])</f>
        <v>256.60000000000002</v>
      </c>
      <c r="G69" s="109">
        <f>LARGE(Open[[#This Row],[TS SH O 22.02.22]:[PR3]],1)</f>
        <v>148</v>
      </c>
      <c r="H69" s="109">
        <f>LARGE(Open[[#This Row],[TS SH O 22.02.22]:[PR3]],2)</f>
        <v>62.400000000000006</v>
      </c>
      <c r="I69" s="109">
        <f>LARGE(Open[[#This Row],[TS SH O 22.02.22]:[PR3]],3)</f>
        <v>46.2</v>
      </c>
      <c r="J69" s="9">
        <f>RANK(K69,$K$7:$K$295,0)</f>
        <v>63</v>
      </c>
      <c r="K69" s="109">
        <f>SUM(L69:W69)</f>
        <v>256.60000000000002</v>
      </c>
      <c r="L69" s="109" t="str">
        <f>IFERROR(VLOOKUP(Open[[#This Row],[TS SH 22.02.22 Rang]],$AJ$16:$AK$111,2,0)*L$5," ")</f>
        <v xml:space="preserve"> </v>
      </c>
      <c r="M69" s="109">
        <f>IFERROR(VLOOKUP(Open[[#This Row],[TS SH O 23.04.22 Rang]],$AJ$16:$AK$111,2,0)*M$5," ")</f>
        <v>46.2</v>
      </c>
      <c r="N69" s="109" t="str">
        <f>IFERROR(VLOOKUP(Open[[#This Row],[TS LA O 08.05.22 Rang]],$AJ$16:$AK$111,2,0)*N$5," ")</f>
        <v xml:space="preserve"> </v>
      </c>
      <c r="O69" s="109" t="str">
        <f>IFERROR(VLOOKUP(Open[[#This Row],[TS SG O 25.05.22 Rang]],$AJ$16:$AK$111,2,0)*O$5," ")</f>
        <v xml:space="preserve"> </v>
      </c>
      <c r="P69" s="109">
        <f>IFERROR(VLOOKUP(Open[[#This Row],[TS SH O 25.06.22 Rang]],$AJ$16:$AK$111,2,0)*P$5," ")</f>
        <v>148</v>
      </c>
      <c r="Q69" s="109" t="str">
        <f>IFERROR(VLOOKUP(Open[[#This Row],[TS ZH O/A 25.06.22 Rang]],$AJ$16:$AK$111,2,0)*Q$5," ")</f>
        <v xml:space="preserve"> </v>
      </c>
      <c r="R69" s="109" t="str">
        <f>IFERROR(VLOOKUP(Open[[#This Row],[TS ZH O/B 25.06.22 Rang]],$AJ$16:$AK$111,2,0)*R$5," ")</f>
        <v xml:space="preserve"> </v>
      </c>
      <c r="S69" s="109">
        <f>IFERROR(VLOOKUP(Open[[#This Row],[SM BE O/A 09.07.22 Rang]],$AJ$16:$AK$111,2,0)*S$5," ")</f>
        <v>62.400000000000006</v>
      </c>
      <c r="T69" s="109" t="str">
        <f>IFERROR(VLOOKUP(Open[[#This Row],[SM BE O/B 09.07.22 Rang]],$AJ$16:$AK$111,2,0)*T$5," ")</f>
        <v xml:space="preserve"> </v>
      </c>
      <c r="U69" s="11">
        <v>0</v>
      </c>
      <c r="V69" s="11">
        <v>0</v>
      </c>
      <c r="W69" s="11">
        <v>0</v>
      </c>
      <c r="X69" s="129"/>
      <c r="Y69" s="191">
        <v>19</v>
      </c>
      <c r="Z69" s="191"/>
      <c r="AA69" s="191"/>
      <c r="AB69" s="191">
        <v>10</v>
      </c>
      <c r="AC69" s="191"/>
      <c r="AD69" s="191"/>
      <c r="AE69" s="191">
        <v>23</v>
      </c>
      <c r="AF69" s="191"/>
      <c r="AG69" s="17"/>
      <c r="AH69" s="17"/>
      <c r="AI69" s="17"/>
      <c r="AJ69" s="155">
        <v>53</v>
      </c>
      <c r="AK69" s="155">
        <v>20</v>
      </c>
      <c r="AL69" s="17"/>
      <c r="AM69" s="17"/>
      <c r="AN69" s="17"/>
      <c r="AO69" s="17"/>
      <c r="AP69" s="17"/>
      <c r="AQ69" s="17"/>
      <c r="AR69" s="17"/>
      <c r="BB69" s="4"/>
      <c r="BC69" s="4"/>
      <c r="BD69" s="4"/>
      <c r="BE69" s="4"/>
      <c r="BF69" s="4"/>
      <c r="BG69" s="4"/>
      <c r="BH69" s="4"/>
      <c r="BI69" s="4"/>
    </row>
    <row r="70" spans="1:61" x14ac:dyDescent="0.2">
      <c r="A70" s="11">
        <v>64</v>
      </c>
      <c r="B70" s="11">
        <f>IF(Open[[#This Row],[PR Rang beim letzten Turnier]]&gt;Open[[#This Row],[PR Rang]],1,IF(Open[[#This Row],[PR Rang beim letzten Turnier]]=Open[[#This Row],[PR Rang]],0,-1))</f>
        <v>1</v>
      </c>
      <c r="C70" s="147">
        <f>RANK(Open[[#This Row],[PR Punkte]],Open[PR Punkte],0)</f>
        <v>63</v>
      </c>
      <c r="D70" s="25" t="s">
        <v>209</v>
      </c>
      <c r="E70" s="11" t="s">
        <v>8</v>
      </c>
      <c r="F70" s="109">
        <f>SUM(Open[[#This Row],[PR 1]:[PR 3]])</f>
        <v>256.60000000000002</v>
      </c>
      <c r="G70" s="109">
        <f>LARGE(Open[[#This Row],[TS SH O 22.02.22]:[PR3]],1)</f>
        <v>148</v>
      </c>
      <c r="H70" s="109">
        <f>LARGE(Open[[#This Row],[TS SH O 22.02.22]:[PR3]],2)</f>
        <v>62.400000000000006</v>
      </c>
      <c r="I70" s="109">
        <f>LARGE(Open[[#This Row],[TS SH O 22.02.22]:[PR3]],3)</f>
        <v>46.2</v>
      </c>
      <c r="J70" s="31">
        <f>RANK(K70,$K$7:$K$295,0)</f>
        <v>63</v>
      </c>
      <c r="K70" s="109">
        <f>SUM(L70:W70)</f>
        <v>256.60000000000002</v>
      </c>
      <c r="L70" s="109" t="str">
        <f>IFERROR(VLOOKUP(Open[[#This Row],[TS SH 22.02.22 Rang]],$AJ$16:$AK$111,2,0)*L$5," ")</f>
        <v xml:space="preserve"> </v>
      </c>
      <c r="M70" s="109">
        <f>IFERROR(VLOOKUP(Open[[#This Row],[TS SH O 23.04.22 Rang]],$AJ$16:$AK$111,2,0)*M$5," ")</f>
        <v>46.2</v>
      </c>
      <c r="N70" s="109" t="str">
        <f>IFERROR(VLOOKUP(Open[[#This Row],[TS LA O 08.05.22 Rang]],$AJ$16:$AK$111,2,0)*N$5," ")</f>
        <v xml:space="preserve"> </v>
      </c>
      <c r="O70" s="109">
        <f>IFERROR(VLOOKUP(Open[[#This Row],[TS SG O 25.05.22 Rang]],$AJ$16:$AK$111,2,0)*O$5," ")</f>
        <v>148</v>
      </c>
      <c r="P70" s="109" t="str">
        <f>IFERROR(VLOOKUP(Open[[#This Row],[TS SH O 25.06.22 Rang]],$AJ$16:$AK$111,2,0)*P$5," ")</f>
        <v xml:space="preserve"> </v>
      </c>
      <c r="Q70" s="109" t="str">
        <f>IFERROR(VLOOKUP(Open[[#This Row],[TS ZH O/A 25.06.22 Rang]],$AJ$16:$AK$111,2,0)*Q$5," ")</f>
        <v xml:space="preserve"> </v>
      </c>
      <c r="R70" s="109" t="str">
        <f>IFERROR(VLOOKUP(Open[[#This Row],[TS ZH O/B 25.06.22 Rang]],$AJ$16:$AK$111,2,0)*R$5," ")</f>
        <v xml:space="preserve"> </v>
      </c>
      <c r="S70" s="109">
        <f>IFERROR(VLOOKUP(Open[[#This Row],[SM BE O/A 09.07.22 Rang]],$AJ$16:$AK$111,2,0)*S$5," ")</f>
        <v>62.400000000000006</v>
      </c>
      <c r="T70" s="109" t="str">
        <f>IFERROR(VLOOKUP(Open[[#This Row],[SM BE O/B 09.07.22 Rang]],$AJ$16:$AK$111,2,0)*T$5," ")</f>
        <v xml:space="preserve"> </v>
      </c>
      <c r="U70" s="11">
        <v>0</v>
      </c>
      <c r="V70" s="11">
        <v>0</v>
      </c>
      <c r="W70" s="11">
        <v>0</v>
      </c>
      <c r="X70" s="129"/>
      <c r="Y70" s="191">
        <v>23</v>
      </c>
      <c r="Z70" s="191"/>
      <c r="AA70" s="191">
        <v>14</v>
      </c>
      <c r="AB70" s="191"/>
      <c r="AC70" s="191"/>
      <c r="AD70" s="191"/>
      <c r="AE70" s="191">
        <v>30</v>
      </c>
      <c r="AF70" s="191"/>
      <c r="AG70" s="17"/>
      <c r="AH70" s="17"/>
      <c r="AI70" s="17"/>
      <c r="AJ70" s="155">
        <v>54</v>
      </c>
      <c r="AK70" s="155">
        <v>20</v>
      </c>
      <c r="AL70" s="17"/>
      <c r="AM70" s="17"/>
      <c r="AN70" s="17"/>
      <c r="AO70" s="17"/>
      <c r="AP70" s="17"/>
      <c r="AQ70" s="17"/>
      <c r="AR70" s="17"/>
      <c r="BB70" s="4"/>
      <c r="BC70" s="4"/>
      <c r="BD70" s="4"/>
      <c r="BE70" s="4"/>
      <c r="BF70" s="4"/>
      <c r="BG70" s="4"/>
      <c r="BH70" s="4"/>
      <c r="BI70" s="4"/>
    </row>
    <row r="71" spans="1:61" x14ac:dyDescent="0.2">
      <c r="A71" s="11">
        <v>75</v>
      </c>
      <c r="B71" s="11">
        <f>IF(Open[[#This Row],[PR Rang beim letzten Turnier]]&gt;Open[[#This Row],[PR Rang]],1,IF(Open[[#This Row],[PR Rang beim letzten Turnier]]=Open[[#This Row],[PR Rang]],0,-1))</f>
        <v>1</v>
      </c>
      <c r="C71" s="147">
        <f>RANK(Open[[#This Row],[PR Punkte]],Open[PR Punkte],0)</f>
        <v>65</v>
      </c>
      <c r="D71" s="12" t="s">
        <v>136</v>
      </c>
      <c r="E71" s="12" t="s">
        <v>13</v>
      </c>
      <c r="F71" s="109">
        <f>SUM(Open[[#This Row],[PR 1]:[PR 3]])</f>
        <v>254.8</v>
      </c>
      <c r="G71" s="109">
        <f>LARGE(Open[[#This Row],[TS SH O 22.02.22]:[PR3]],1)</f>
        <v>148</v>
      </c>
      <c r="H71" s="109">
        <f>LARGE(Open[[#This Row],[TS SH O 22.02.22]:[PR3]],2)</f>
        <v>62.400000000000006</v>
      </c>
      <c r="I71" s="109">
        <f>LARGE(Open[[#This Row],[TS SH O 22.02.22]:[PR3]],3)</f>
        <v>44.4</v>
      </c>
      <c r="J71" s="86">
        <f>RANK(K71,$K$7:$K$295,0)</f>
        <v>65</v>
      </c>
      <c r="K71" s="109">
        <f>SUM(L71:W71)</f>
        <v>254.8</v>
      </c>
      <c r="L71" s="109" t="str">
        <f>IFERROR(VLOOKUP(Open[[#This Row],[TS SH 22.02.22 Rang]],$AJ$16:$AK$111,2,0)*L$5," ")</f>
        <v xml:space="preserve"> </v>
      </c>
      <c r="M71" s="109" t="str">
        <f>IFERROR(VLOOKUP(Open[[#This Row],[TS SH O 23.04.22 Rang]],$AJ$16:$AK$111,2,0)*M$5," ")</f>
        <v xml:space="preserve"> </v>
      </c>
      <c r="N71" s="109" t="str">
        <f>IFERROR(VLOOKUP(Open[[#This Row],[TS LA O 08.05.22 Rang]],$AJ$16:$AK$111,2,0)*N$5," ")</f>
        <v xml:space="preserve"> </v>
      </c>
      <c r="O71" s="109">
        <f>IFERROR(VLOOKUP(Open[[#This Row],[TS SG O 25.05.22 Rang]],$AJ$16:$AK$111,2,0)*O$5," ")</f>
        <v>148</v>
      </c>
      <c r="P71" s="109">
        <f>IFERROR(VLOOKUP(Open[[#This Row],[TS SH O 25.06.22 Rang]],$AJ$16:$AK$111,2,0)*P$5," ")</f>
        <v>44.4</v>
      </c>
      <c r="Q71" s="109" t="str">
        <f>IFERROR(VLOOKUP(Open[[#This Row],[TS ZH O/A 25.06.22 Rang]],$AJ$16:$AK$111,2,0)*Q$5," ")</f>
        <v xml:space="preserve"> </v>
      </c>
      <c r="R71" s="109" t="str">
        <f>IFERROR(VLOOKUP(Open[[#This Row],[TS ZH O/B 25.06.22 Rang]],$AJ$16:$AK$111,2,0)*R$5," ")</f>
        <v xml:space="preserve"> </v>
      </c>
      <c r="S71" s="109">
        <f>IFERROR(VLOOKUP(Open[[#This Row],[SM BE O/A 09.07.22 Rang]],$AJ$16:$AK$111,2,0)*S$5," ")</f>
        <v>62.400000000000006</v>
      </c>
      <c r="T71" s="109" t="str">
        <f>IFERROR(VLOOKUP(Open[[#This Row],[SM BE O/B 09.07.22 Rang]],$AJ$16:$AK$111,2,0)*T$5," ")</f>
        <v xml:space="preserve"> </v>
      </c>
      <c r="U71" s="11">
        <v>0</v>
      </c>
      <c r="V71" s="11">
        <v>0</v>
      </c>
      <c r="W71" s="11">
        <v>0</v>
      </c>
      <c r="X71" s="129"/>
      <c r="Y71" s="191"/>
      <c r="Z71" s="191"/>
      <c r="AA71" s="191">
        <v>12</v>
      </c>
      <c r="AB71" s="191">
        <v>18</v>
      </c>
      <c r="AC71" s="191"/>
      <c r="AD71" s="191"/>
      <c r="AE71" s="191">
        <v>22</v>
      </c>
      <c r="AF71" s="191"/>
      <c r="AG71" s="17"/>
      <c r="AH71" s="17"/>
      <c r="AI71" s="17"/>
      <c r="AJ71" s="155">
        <v>55</v>
      </c>
      <c r="AK71" s="155">
        <v>20</v>
      </c>
      <c r="AL71" s="17"/>
      <c r="AM71" s="17"/>
      <c r="AN71" s="17"/>
      <c r="AO71" s="17"/>
      <c r="AP71" s="17"/>
      <c r="AQ71" s="17"/>
      <c r="AR71" s="17"/>
      <c r="BB71" s="4"/>
      <c r="BC71" s="4"/>
      <c r="BD71" s="4"/>
      <c r="BE71" s="4"/>
      <c r="BF71" s="4"/>
      <c r="BG71" s="4"/>
      <c r="BH71" s="4"/>
      <c r="BI71" s="4"/>
    </row>
    <row r="72" spans="1:61" x14ac:dyDescent="0.2">
      <c r="A72" s="11">
        <v>78</v>
      </c>
      <c r="B72" s="11">
        <f>IF(Open[[#This Row],[PR Rang beim letzten Turnier]]&gt;Open[[#This Row],[PR Rang]],1,IF(Open[[#This Row],[PR Rang beim letzten Turnier]]=Open[[#This Row],[PR Rang]],0,-1))</f>
        <v>1</v>
      </c>
      <c r="C72" s="147">
        <f>RANK(Open[[#This Row],[PR Punkte]],Open[PR Punkte],0)</f>
        <v>66</v>
      </c>
      <c r="D72" s="8" t="s">
        <v>188</v>
      </c>
      <c r="E72" s="9" t="s">
        <v>12</v>
      </c>
      <c r="F72" s="109">
        <f>SUM(Open[[#This Row],[PR 1]:[PR 3]])</f>
        <v>220.4</v>
      </c>
      <c r="G72" s="109">
        <f>LARGE(Open[[#This Row],[TS SH O 22.02.22]:[PR3]],1)</f>
        <v>158</v>
      </c>
      <c r="H72" s="109">
        <f>LARGE(Open[[#This Row],[TS SH O 22.02.22]:[PR3]],2)</f>
        <v>62.400000000000006</v>
      </c>
      <c r="I72" s="109">
        <f>LARGE(Open[[#This Row],[TS SH O 22.02.22]:[PR3]],3)</f>
        <v>0</v>
      </c>
      <c r="J72" s="9">
        <f>RANK(K72,$K$7:$K$295,0)</f>
        <v>66</v>
      </c>
      <c r="K72" s="109">
        <f>SUM(L72:W72)</f>
        <v>220.4</v>
      </c>
      <c r="L72" s="109" t="str">
        <f>IFERROR(VLOOKUP(Open[[#This Row],[TS SH 22.02.22 Rang]],$AJ$16:$AK$111,2,0)*L$5," ")</f>
        <v xml:space="preserve"> </v>
      </c>
      <c r="M72" s="109" t="str">
        <f>IFERROR(VLOOKUP(Open[[#This Row],[TS SH O 23.04.22 Rang]],$AJ$16:$AK$111,2,0)*M$5," ")</f>
        <v xml:space="preserve"> </v>
      </c>
      <c r="N72" s="109">
        <f>IFERROR(VLOOKUP(Open[[#This Row],[TS LA O 08.05.22 Rang]],$AJ$16:$AK$111,2,0)*N$5," ")</f>
        <v>158</v>
      </c>
      <c r="O72" s="109" t="str">
        <f>IFERROR(VLOOKUP(Open[[#This Row],[TS SG O 25.05.22 Rang]],$AJ$16:$AK$111,2,0)*O$5," ")</f>
        <v xml:space="preserve"> </v>
      </c>
      <c r="P72" s="109" t="str">
        <f>IFERROR(VLOOKUP(Open[[#This Row],[TS SH O 25.06.22 Rang]],$AJ$16:$AK$111,2,0)*P$5," ")</f>
        <v xml:space="preserve"> </v>
      </c>
      <c r="Q72" s="109" t="str">
        <f>IFERROR(VLOOKUP(Open[[#This Row],[TS ZH O/A 25.06.22 Rang]],$AJ$16:$AK$111,2,0)*Q$5," ")</f>
        <v xml:space="preserve"> </v>
      </c>
      <c r="R72" s="109" t="str">
        <f>IFERROR(VLOOKUP(Open[[#This Row],[TS ZH O/B 25.06.22 Rang]],$AJ$16:$AK$111,2,0)*R$5," ")</f>
        <v xml:space="preserve"> </v>
      </c>
      <c r="S72" s="109">
        <f>IFERROR(VLOOKUP(Open[[#This Row],[SM BE O/A 09.07.22 Rang]],$AJ$16:$AK$111,2,0)*S$5," ")</f>
        <v>62.400000000000006</v>
      </c>
      <c r="T72" s="109" t="str">
        <f>IFERROR(VLOOKUP(Open[[#This Row],[SM BE O/B 09.07.22 Rang]],$AJ$16:$AK$111,2,0)*T$5," ")</f>
        <v xml:space="preserve"> </v>
      </c>
      <c r="U72" s="11">
        <v>0</v>
      </c>
      <c r="V72" s="11">
        <v>0</v>
      </c>
      <c r="W72" s="11">
        <v>0</v>
      </c>
      <c r="X72" s="129"/>
      <c r="Y72" s="191"/>
      <c r="Z72" s="191">
        <v>10</v>
      </c>
      <c r="AA72" s="191"/>
      <c r="AB72" s="191"/>
      <c r="AC72" s="191"/>
      <c r="AD72" s="191"/>
      <c r="AE72" s="191">
        <v>25</v>
      </c>
      <c r="AF72" s="191"/>
      <c r="AG72" s="17"/>
      <c r="AH72" s="17"/>
      <c r="AI72" s="17"/>
      <c r="AJ72" s="155">
        <v>56</v>
      </c>
      <c r="AK72" s="155">
        <v>20</v>
      </c>
      <c r="AL72" s="17"/>
      <c r="AM72" s="17"/>
      <c r="AN72" s="17"/>
      <c r="AO72" s="17"/>
      <c r="AP72" s="17"/>
      <c r="AQ72" s="17"/>
      <c r="AR72" s="17"/>
      <c r="BB72" s="4"/>
      <c r="BC72" s="4"/>
      <c r="BD72" s="4"/>
      <c r="BE72" s="4"/>
      <c r="BF72" s="4"/>
      <c r="BG72" s="4"/>
      <c r="BH72" s="4"/>
      <c r="BI72" s="4"/>
    </row>
    <row r="73" spans="1:61" x14ac:dyDescent="0.2">
      <c r="A73" s="11">
        <v>78</v>
      </c>
      <c r="B73" s="11">
        <f>IF(Open[[#This Row],[PR Rang beim letzten Turnier]]&gt;Open[[#This Row],[PR Rang]],1,IF(Open[[#This Row],[PR Rang beim letzten Turnier]]=Open[[#This Row],[PR Rang]],0,-1))</f>
        <v>1</v>
      </c>
      <c r="C73" s="147">
        <f>RANK(Open[[#This Row],[PR Punkte]],Open[PR Punkte],0)</f>
        <v>66</v>
      </c>
      <c r="D73" s="25" t="s">
        <v>280</v>
      </c>
      <c r="E73" s="11" t="s">
        <v>12</v>
      </c>
      <c r="F73" s="109">
        <f>SUM(Open[[#This Row],[PR 1]:[PR 3]])</f>
        <v>220.4</v>
      </c>
      <c r="G73" s="109">
        <f>LARGE(Open[[#This Row],[TS SH O 22.02.22]:[PR3]],1)</f>
        <v>158</v>
      </c>
      <c r="H73" s="109">
        <f>LARGE(Open[[#This Row],[TS SH O 22.02.22]:[PR3]],2)</f>
        <v>62.400000000000006</v>
      </c>
      <c r="I73" s="109">
        <f>LARGE(Open[[#This Row],[TS SH O 22.02.22]:[PR3]],3)</f>
        <v>0</v>
      </c>
      <c r="J73" s="11">
        <f>RANK(K73,$K$7:$K$295,0)</f>
        <v>66</v>
      </c>
      <c r="K73" s="109">
        <f>SUM(L73:W73)</f>
        <v>220.4</v>
      </c>
      <c r="L73" s="109" t="str">
        <f>IFERROR(VLOOKUP(Open[[#This Row],[TS SH 22.02.22 Rang]],$AJ$16:$AK$111,2,0)*L$5," ")</f>
        <v xml:space="preserve"> </v>
      </c>
      <c r="M73" s="109" t="str">
        <f>IFERROR(VLOOKUP(Open[[#This Row],[TS SH O 23.04.22 Rang]],$AJ$16:$AK$111,2,0)*M$5," ")</f>
        <v xml:space="preserve"> </v>
      </c>
      <c r="N73" s="109">
        <f>IFERROR(VLOOKUP(Open[[#This Row],[TS LA O 08.05.22 Rang]],$AJ$16:$AK$111,2,0)*N$5," ")</f>
        <v>158</v>
      </c>
      <c r="O73" s="109" t="str">
        <f>IFERROR(VLOOKUP(Open[[#This Row],[TS SG O 25.05.22 Rang]],$AJ$16:$AK$111,2,0)*O$5," ")</f>
        <v xml:space="preserve"> </v>
      </c>
      <c r="P73" s="109" t="str">
        <f>IFERROR(VLOOKUP(Open[[#This Row],[TS SH O 25.06.22 Rang]],$AJ$16:$AK$111,2,0)*P$5," ")</f>
        <v xml:space="preserve"> </v>
      </c>
      <c r="Q73" s="109" t="str">
        <f>IFERROR(VLOOKUP(Open[[#This Row],[TS ZH O/A 25.06.22 Rang]],$AJ$16:$AK$111,2,0)*Q$5," ")</f>
        <v xml:space="preserve"> </v>
      </c>
      <c r="R73" s="109" t="str">
        <f>IFERROR(VLOOKUP(Open[[#This Row],[TS ZH O/B 25.06.22 Rang]],$AJ$16:$AK$111,2,0)*R$5," ")</f>
        <v xml:space="preserve"> </v>
      </c>
      <c r="S73" s="109">
        <f>IFERROR(VLOOKUP(Open[[#This Row],[SM BE O/A 09.07.22 Rang]],$AJ$16:$AK$111,2,0)*S$5," ")</f>
        <v>62.400000000000006</v>
      </c>
      <c r="T73" s="109" t="str">
        <f>IFERROR(VLOOKUP(Open[[#This Row],[SM BE O/B 09.07.22 Rang]],$AJ$16:$AK$111,2,0)*T$5," ")</f>
        <v xml:space="preserve"> </v>
      </c>
      <c r="U73" s="11">
        <v>0</v>
      </c>
      <c r="V73" s="11">
        <v>0</v>
      </c>
      <c r="W73" s="11">
        <v>0</v>
      </c>
      <c r="X73" s="129"/>
      <c r="Y73" s="191"/>
      <c r="Z73" s="191">
        <v>10</v>
      </c>
      <c r="AA73" s="191"/>
      <c r="AB73" s="191"/>
      <c r="AC73" s="191"/>
      <c r="AD73" s="191"/>
      <c r="AE73" s="191">
        <v>25</v>
      </c>
      <c r="AF73" s="191"/>
      <c r="AG73" s="17"/>
      <c r="AH73" s="17"/>
      <c r="AI73" s="17"/>
      <c r="AJ73" s="155">
        <v>57</v>
      </c>
      <c r="AK73" s="155">
        <v>20</v>
      </c>
      <c r="AL73" s="17"/>
      <c r="AM73" s="17"/>
      <c r="AN73" s="17"/>
      <c r="AO73" s="17"/>
      <c r="AP73" s="17"/>
      <c r="AQ73" s="17"/>
      <c r="AR73" s="17"/>
      <c r="BB73" s="4"/>
      <c r="BC73" s="4"/>
      <c r="BD73" s="4"/>
      <c r="BE73" s="4"/>
      <c r="BF73" s="4"/>
      <c r="BG73" s="4"/>
      <c r="BH73" s="4"/>
      <c r="BI73" s="4"/>
    </row>
    <row r="74" spans="1:61" x14ac:dyDescent="0.2">
      <c r="A74" s="11">
        <v>78</v>
      </c>
      <c r="B74" s="11">
        <f>IF(Open[[#This Row],[PR Rang beim letzten Turnier]]&gt;Open[[#This Row],[PR Rang]],1,IF(Open[[#This Row],[PR Rang beim letzten Turnier]]=Open[[#This Row],[PR Rang]],0,-1))</f>
        <v>1</v>
      </c>
      <c r="C74" s="147">
        <f>RANK(Open[[#This Row],[PR Punkte]],Open[PR Punkte],0)</f>
        <v>66</v>
      </c>
      <c r="D74" s="9" t="s">
        <v>521</v>
      </c>
      <c r="E74" s="9" t="s">
        <v>13</v>
      </c>
      <c r="F74" s="109">
        <f>SUM(Open[[#This Row],[PR 1]:[PR 3]])</f>
        <v>220.4</v>
      </c>
      <c r="G74" s="109">
        <f>LARGE(Open[[#This Row],[TS SH O 22.02.22]:[PR3]],1)</f>
        <v>158</v>
      </c>
      <c r="H74" s="109">
        <f>LARGE(Open[[#This Row],[TS SH O 22.02.22]:[PR3]],2)</f>
        <v>62.400000000000006</v>
      </c>
      <c r="I74" s="109">
        <f>LARGE(Open[[#This Row],[TS SH O 22.02.22]:[PR3]],3)</f>
        <v>0</v>
      </c>
      <c r="J74" s="9">
        <f>RANK(K74,$K$7:$K$361,0)</f>
        <v>66</v>
      </c>
      <c r="K74" s="109">
        <f>SUM(L74:W74)</f>
        <v>220.4</v>
      </c>
      <c r="L74" s="109"/>
      <c r="M74" s="109" t="str">
        <f>IFERROR(VLOOKUP(Open[[#This Row],[TS SH O 23.04.22 Rang]],$AJ$16:$AK$111,2,0)*M$5," ")</f>
        <v xml:space="preserve"> </v>
      </c>
      <c r="N74" s="109">
        <f>IFERROR(VLOOKUP(Open[[#This Row],[TS LA O 08.05.22 Rang]],$AJ$16:$AK$111,2,0)*N$5," ")</f>
        <v>158</v>
      </c>
      <c r="O74" s="109" t="str">
        <f>IFERROR(VLOOKUP(Open[[#This Row],[TS SG O 25.05.22 Rang]],$AJ$16:$AK$111,2,0)*O$5," ")</f>
        <v xml:space="preserve"> </v>
      </c>
      <c r="P74" s="109" t="str">
        <f>IFERROR(VLOOKUP(Open[[#This Row],[TS SH O 25.06.22 Rang]],$AJ$16:$AK$111,2,0)*P$5," ")</f>
        <v xml:space="preserve"> </v>
      </c>
      <c r="Q74" s="109" t="str">
        <f>IFERROR(VLOOKUP(Open[[#This Row],[TS ZH O/A 25.06.22 Rang]],$AJ$16:$AK$111,2,0)*Q$5," ")</f>
        <v xml:space="preserve"> </v>
      </c>
      <c r="R74" s="109" t="str">
        <f>IFERROR(VLOOKUP(Open[[#This Row],[TS ZH O/B 25.06.22 Rang]],$AJ$16:$AK$111,2,0)*R$5," ")</f>
        <v xml:space="preserve"> </v>
      </c>
      <c r="S74" s="109">
        <f>IFERROR(VLOOKUP(Open[[#This Row],[SM BE O/A 09.07.22 Rang]],$AJ$16:$AK$111,2,0)*S$5," ")</f>
        <v>62.400000000000006</v>
      </c>
      <c r="T74" s="109" t="str">
        <f>IFERROR(VLOOKUP(Open[[#This Row],[SM BE O/B 09.07.22 Rang]],$AJ$16:$AK$111,2,0)*T$5," ")</f>
        <v xml:space="preserve"> </v>
      </c>
      <c r="U74" s="11">
        <v>0</v>
      </c>
      <c r="V74" s="11">
        <v>0</v>
      </c>
      <c r="W74" s="11">
        <v>0</v>
      </c>
      <c r="X74" s="129"/>
      <c r="Y74" s="191"/>
      <c r="Z74" s="191">
        <v>15</v>
      </c>
      <c r="AA74" s="191"/>
      <c r="AB74" s="191"/>
      <c r="AC74" s="191"/>
      <c r="AD74" s="191"/>
      <c r="AE74" s="191">
        <v>21</v>
      </c>
      <c r="AF74" s="191"/>
      <c r="AG74" s="17"/>
      <c r="AH74" s="17"/>
      <c r="AI74" s="17"/>
      <c r="AJ74" s="155">
        <v>58</v>
      </c>
      <c r="AK74" s="155">
        <v>20</v>
      </c>
      <c r="AL74" s="17"/>
      <c r="AM74" s="17"/>
      <c r="AN74" s="17"/>
      <c r="AO74" s="17"/>
      <c r="AP74" s="17"/>
      <c r="AQ74" s="17"/>
      <c r="AR74" s="17"/>
      <c r="BB74" s="4"/>
      <c r="BC74" s="4"/>
      <c r="BD74" s="4"/>
      <c r="BE74" s="4"/>
      <c r="BF74" s="4"/>
      <c r="BG74" s="4"/>
      <c r="BH74" s="4"/>
      <c r="BI74" s="4"/>
    </row>
    <row r="75" spans="1:61" x14ac:dyDescent="0.2">
      <c r="A75" s="11">
        <v>90</v>
      </c>
      <c r="B75" s="11">
        <f>IF(Open[[#This Row],[PR Rang beim letzten Turnier]]&gt;Open[[#This Row],[PR Rang]],1,IF(Open[[#This Row],[PR Rang beim letzten Turnier]]=Open[[#This Row],[PR Rang]],0,-1))</f>
        <v>1</v>
      </c>
      <c r="C75" s="147">
        <f>RANK(Open[[#This Row],[PR Punkte]],Open[PR Punkte],0)</f>
        <v>69</v>
      </c>
      <c r="D75" s="9" t="s">
        <v>147</v>
      </c>
      <c r="E75" s="9" t="s">
        <v>0</v>
      </c>
      <c r="F75" s="109">
        <f>SUM(Open[[#This Row],[PR 1]:[PR 3]])</f>
        <v>210.4</v>
      </c>
      <c r="G75" s="109">
        <f>LARGE(Open[[#This Row],[TS SH O 22.02.22]:[PR3]],1)</f>
        <v>148</v>
      </c>
      <c r="H75" s="109">
        <f>LARGE(Open[[#This Row],[TS SH O 22.02.22]:[PR3]],2)</f>
        <v>62.400000000000006</v>
      </c>
      <c r="I75" s="109">
        <f>LARGE(Open[[#This Row],[TS SH O 22.02.22]:[PR3]],3)</f>
        <v>0</v>
      </c>
      <c r="J75" s="9">
        <f>RANK(K75,$K$7:$K$295,0)</f>
        <v>69</v>
      </c>
      <c r="K75" s="109">
        <f>SUM(L75:W75)</f>
        <v>210.4</v>
      </c>
      <c r="L75" s="109" t="str">
        <f>IFERROR(VLOOKUP(Open[[#This Row],[TS SH 22.02.22 Rang]],$AJ$16:$AK$111,2,0)*L$5," ")</f>
        <v xml:space="preserve"> </v>
      </c>
      <c r="M75" s="109" t="str">
        <f>IFERROR(VLOOKUP(Open[[#This Row],[TS SH O 23.04.22 Rang]],$AJ$16:$AK$111,2,0)*M$5," ")</f>
        <v xml:space="preserve"> </v>
      </c>
      <c r="N75" s="109" t="str">
        <f>IFERROR(VLOOKUP(Open[[#This Row],[TS LA O 08.05.22 Rang]],$AJ$16:$AK$111,2,0)*N$5," ")</f>
        <v xml:space="preserve"> </v>
      </c>
      <c r="O75" s="109" t="str">
        <f>IFERROR(VLOOKUP(Open[[#This Row],[TS SG O 25.05.22 Rang]],$AJ$16:$AK$111,2,0)*O$5," ")</f>
        <v xml:space="preserve"> </v>
      </c>
      <c r="P75" s="109">
        <f>IFERROR(VLOOKUP(Open[[#This Row],[TS SH O 25.06.22 Rang]],$AJ$16:$AK$111,2,0)*P$5," ")</f>
        <v>148</v>
      </c>
      <c r="Q75" s="109" t="str">
        <f>IFERROR(VLOOKUP(Open[[#This Row],[TS ZH O/A 25.06.22 Rang]],$AJ$16:$AK$111,2,0)*Q$5," ")</f>
        <v xml:space="preserve"> </v>
      </c>
      <c r="R75" s="109" t="str">
        <f>IFERROR(VLOOKUP(Open[[#This Row],[TS ZH O/B 25.06.22 Rang]],$AJ$16:$AK$111,2,0)*R$5," ")</f>
        <v xml:space="preserve"> </v>
      </c>
      <c r="S75" s="109">
        <f>IFERROR(VLOOKUP(Open[[#This Row],[SM BE O/A 09.07.22 Rang]],$AJ$16:$AK$111,2,0)*S$5," ")</f>
        <v>62.400000000000006</v>
      </c>
      <c r="T75" s="109" t="str">
        <f>IFERROR(VLOOKUP(Open[[#This Row],[SM BE O/B 09.07.22 Rang]],$AJ$16:$AK$111,2,0)*T$5," ")</f>
        <v xml:space="preserve"> </v>
      </c>
      <c r="U75" s="11">
        <v>0</v>
      </c>
      <c r="V75" s="11">
        <v>0</v>
      </c>
      <c r="W75" s="11">
        <v>0</v>
      </c>
      <c r="X75" s="129"/>
      <c r="Y75" s="191"/>
      <c r="Z75" s="191"/>
      <c r="AA75" s="191"/>
      <c r="AB75" s="191">
        <v>12</v>
      </c>
      <c r="AC75" s="191"/>
      <c r="AD75" s="191"/>
      <c r="AE75" s="191">
        <v>19</v>
      </c>
      <c r="AF75" s="191"/>
      <c r="AG75" s="161"/>
      <c r="AH75" s="161"/>
      <c r="AI75" s="161"/>
      <c r="AJ75" s="163">
        <v>59</v>
      </c>
      <c r="AK75" s="163">
        <v>20</v>
      </c>
      <c r="AL75" s="161"/>
      <c r="AM75" s="17"/>
      <c r="AN75" s="17"/>
      <c r="AO75" s="17"/>
      <c r="AP75" s="17"/>
      <c r="AQ75" s="17"/>
      <c r="AR75" s="17"/>
      <c r="BB75" s="4"/>
      <c r="BC75" s="4"/>
      <c r="BD75" s="4"/>
      <c r="BE75" s="4"/>
      <c r="BF75" s="4"/>
      <c r="BG75" s="4"/>
      <c r="BH75" s="4"/>
      <c r="BI75" s="4"/>
    </row>
    <row r="76" spans="1:61" x14ac:dyDescent="0.2">
      <c r="A76" s="11">
        <v>90</v>
      </c>
      <c r="B76" s="11">
        <f>IF(Open[[#This Row],[PR Rang beim letzten Turnier]]&gt;Open[[#This Row],[PR Rang]],1,IF(Open[[#This Row],[PR Rang beim letzten Turnier]]=Open[[#This Row],[PR Rang]],0,-1))</f>
        <v>1</v>
      </c>
      <c r="C76" s="147">
        <f>RANK(Open[[#This Row],[PR Punkte]],Open[PR Punkte],0)</f>
        <v>69</v>
      </c>
      <c r="D76" s="11" t="s">
        <v>98</v>
      </c>
      <c r="E76" s="9" t="s">
        <v>8</v>
      </c>
      <c r="F76" s="109">
        <f>SUM(Open[[#This Row],[PR 1]:[PR 3]])</f>
        <v>210.4</v>
      </c>
      <c r="G76" s="109">
        <f>LARGE(Open[[#This Row],[TS SH O 22.02.22]:[PR3]],1)</f>
        <v>148</v>
      </c>
      <c r="H76" s="109">
        <f>LARGE(Open[[#This Row],[TS SH O 22.02.22]:[PR3]],2)</f>
        <v>62.400000000000006</v>
      </c>
      <c r="I76" s="109">
        <f>LARGE(Open[[#This Row],[TS SH O 22.02.22]:[PR3]],3)</f>
        <v>0</v>
      </c>
      <c r="J76" s="9">
        <f>RANK(K76,$K$7:$K$295,0)</f>
        <v>69</v>
      </c>
      <c r="K76" s="109">
        <f>SUM(L76:W76)</f>
        <v>210.4</v>
      </c>
      <c r="L76" s="109" t="str">
        <f>IFERROR(VLOOKUP(Open[[#This Row],[TS SH 22.02.22 Rang]],$AJ$16:$AK$111,2,0)*L$5," ")</f>
        <v xml:space="preserve"> </v>
      </c>
      <c r="M76" s="109" t="str">
        <f>IFERROR(VLOOKUP(Open[[#This Row],[TS SH O 23.04.22 Rang]],$AJ$16:$AK$111,2,0)*M$5," ")</f>
        <v xml:space="preserve"> </v>
      </c>
      <c r="N76" s="109" t="str">
        <f>IFERROR(VLOOKUP(Open[[#This Row],[TS LA O 08.05.22 Rang]],$AJ$16:$AK$111,2,0)*N$5," ")</f>
        <v xml:space="preserve"> </v>
      </c>
      <c r="O76" s="109">
        <f>IFERROR(VLOOKUP(Open[[#This Row],[TS SG O 25.05.22 Rang]],$AJ$16:$AK$111,2,0)*O$5," ")</f>
        <v>148</v>
      </c>
      <c r="P76" s="109" t="str">
        <f>IFERROR(VLOOKUP(Open[[#This Row],[TS SH O 25.06.22 Rang]],$AJ$16:$AK$111,2,0)*P$5," ")</f>
        <v xml:space="preserve"> </v>
      </c>
      <c r="Q76" s="109" t="str">
        <f>IFERROR(VLOOKUP(Open[[#This Row],[TS ZH O/A 25.06.22 Rang]],$AJ$16:$AK$111,2,0)*Q$5," ")</f>
        <v xml:space="preserve"> </v>
      </c>
      <c r="R76" s="109" t="str">
        <f>IFERROR(VLOOKUP(Open[[#This Row],[TS ZH O/B 25.06.22 Rang]],$AJ$16:$AK$111,2,0)*R$5," ")</f>
        <v xml:space="preserve"> </v>
      </c>
      <c r="S76" s="109">
        <f>IFERROR(VLOOKUP(Open[[#This Row],[SM BE O/A 09.07.22 Rang]],$AJ$16:$AK$111,2,0)*S$5," ")</f>
        <v>62.400000000000006</v>
      </c>
      <c r="T76" s="109" t="str">
        <f>IFERROR(VLOOKUP(Open[[#This Row],[SM BE O/B 09.07.22 Rang]],$AJ$16:$AK$111,2,0)*T$5," ")</f>
        <v xml:space="preserve"> </v>
      </c>
      <c r="U76" s="11">
        <v>0</v>
      </c>
      <c r="V76" s="11">
        <v>0</v>
      </c>
      <c r="W76" s="11">
        <v>0</v>
      </c>
      <c r="X76" s="129"/>
      <c r="Y76" s="191"/>
      <c r="Z76" s="191"/>
      <c r="AA76" s="191">
        <v>14</v>
      </c>
      <c r="AB76" s="191"/>
      <c r="AC76" s="191"/>
      <c r="AD76" s="191"/>
      <c r="AE76" s="191">
        <v>30</v>
      </c>
      <c r="AF76" s="191"/>
      <c r="AG76" s="17"/>
      <c r="AH76" s="17"/>
      <c r="AI76" s="17"/>
      <c r="AJ76" s="155">
        <v>60</v>
      </c>
      <c r="AK76" s="155">
        <v>20</v>
      </c>
      <c r="AL76" s="17"/>
      <c r="AM76" s="17"/>
      <c r="AN76" s="17"/>
      <c r="AO76" s="17"/>
      <c r="AP76" s="17"/>
      <c r="AQ76" s="17"/>
      <c r="AR76" s="17"/>
      <c r="BB76" s="4"/>
      <c r="BC76" s="4"/>
      <c r="BD76" s="4"/>
      <c r="BE76" s="4"/>
      <c r="BF76" s="4"/>
      <c r="BG76" s="4"/>
      <c r="BH76" s="4"/>
      <c r="BI76" s="4"/>
    </row>
    <row r="77" spans="1:61" x14ac:dyDescent="0.2">
      <c r="A77" s="86">
        <v>100</v>
      </c>
      <c r="B77" s="86">
        <f>IF(Open[[#This Row],[PR Rang beim letzten Turnier]]&gt;Open[[#This Row],[PR Rang]],1,IF(Open[[#This Row],[PR Rang beim letzten Turnier]]=Open[[#This Row],[PR Rang]],0,-1))</f>
        <v>1</v>
      </c>
      <c r="C77" s="194">
        <f>RANK(Open[[#This Row],[PR Punkte]],Open[PR Punkte],0)</f>
        <v>71</v>
      </c>
      <c r="D77" s="9" t="s">
        <v>555</v>
      </c>
      <c r="E77" s="11" t="s">
        <v>11</v>
      </c>
      <c r="F77" s="195">
        <f>SUM(Open[[#This Row],[PR 1]:[PR 3]])</f>
        <v>204.4</v>
      </c>
      <c r="G77" s="109">
        <f>LARGE(Open[[#This Row],[TS SH O 22.02.22]:[PR3]],1)</f>
        <v>142</v>
      </c>
      <c r="H77" s="109">
        <f>LARGE(Open[[#This Row],[TS SH O 22.02.22]:[PR3]],2)</f>
        <v>62.400000000000006</v>
      </c>
      <c r="I77" s="109">
        <f>LARGE(Open[[#This Row],[TS SH O 22.02.22]:[PR3]],3)</f>
        <v>0</v>
      </c>
      <c r="J77" s="196">
        <f>RANK(K77,$K$7:$K$361,0)</f>
        <v>71</v>
      </c>
      <c r="K77" s="109">
        <f>SUM(L77:W77)</f>
        <v>204.4</v>
      </c>
      <c r="L77" s="109"/>
      <c r="M77" s="109" t="str">
        <f>IFERROR(VLOOKUP(Open[[#This Row],[TS SH O 23.04.22 Rang]],$AJ$16:$AK$111,2,0)*M$5," ")</f>
        <v xml:space="preserve"> </v>
      </c>
      <c r="N77" s="109" t="str">
        <f>IFERROR(VLOOKUP(Open[[#This Row],[TS LA O 08.05.22 Rang]],$AJ$16:$AK$111,2,0)*N$5," ")</f>
        <v xml:space="preserve"> </v>
      </c>
      <c r="O77" s="109" t="str">
        <f>IFERROR(VLOOKUP(Open[[#This Row],[TS SG O 25.05.22 Rang]],$AJ$16:$AK$111,2,0)*O$5," ")</f>
        <v xml:space="preserve"> </v>
      </c>
      <c r="P77" s="109" t="str">
        <f>IFERROR(VLOOKUP(Open[[#This Row],[TS SH O 25.06.22 Rang]],$AJ$16:$AK$111,2,0)*P$5," ")</f>
        <v xml:space="preserve"> </v>
      </c>
      <c r="Q77" s="109">
        <f>IFERROR(VLOOKUP(Open[[#This Row],[TS ZH O/A 25.06.22 Rang]],$AJ$16:$AK$111,2,0)*Q$5," ")</f>
        <v>142</v>
      </c>
      <c r="R77" s="109" t="str">
        <f>IFERROR(VLOOKUP(Open[[#This Row],[TS ZH O/B 25.06.22 Rang]],$AJ$16:$AK$111,2,0)*R$5," ")</f>
        <v xml:space="preserve"> </v>
      </c>
      <c r="S77" s="109">
        <f>IFERROR(VLOOKUP(Open[[#This Row],[SM BE O/A 09.07.22 Rang]],$AJ$16:$AK$111,2,0)*S$5," ")</f>
        <v>62.400000000000006</v>
      </c>
      <c r="T77" s="109" t="str">
        <f>IFERROR(VLOOKUP(Open[[#This Row],[SM BE O/B 09.07.22 Rang]],$AJ$16:$AK$111,2,0)*T$5," ")</f>
        <v xml:space="preserve"> </v>
      </c>
      <c r="U77" s="11">
        <v>0</v>
      </c>
      <c r="V77" s="11">
        <v>0</v>
      </c>
      <c r="W77" s="11">
        <v>0</v>
      </c>
      <c r="X77" s="129"/>
      <c r="Y77" s="191"/>
      <c r="Z77" s="191"/>
      <c r="AA77" s="191"/>
      <c r="AB77" s="191"/>
      <c r="AC77" s="191">
        <v>12</v>
      </c>
      <c r="AD77" s="191"/>
      <c r="AE77" s="191">
        <v>17</v>
      </c>
      <c r="AF77" s="191"/>
      <c r="AG77" s="17"/>
      <c r="AH77" s="17"/>
      <c r="AI77" s="17"/>
      <c r="AJ77" s="155">
        <v>61</v>
      </c>
      <c r="AK77" s="155">
        <v>20</v>
      </c>
      <c r="AL77" s="17"/>
      <c r="AM77" s="17"/>
      <c r="AN77" s="17"/>
      <c r="AO77" s="17"/>
      <c r="AP77" s="17"/>
      <c r="AQ77" s="17"/>
      <c r="AR77" s="17"/>
      <c r="BB77" s="4"/>
      <c r="BC77" s="4"/>
      <c r="BD77" s="4"/>
      <c r="BE77" s="4"/>
      <c r="BF77" s="4"/>
      <c r="BG77" s="4"/>
      <c r="BH77" s="4"/>
      <c r="BI77" s="4"/>
    </row>
    <row r="78" spans="1:61" x14ac:dyDescent="0.2">
      <c r="A78" s="11">
        <v>100</v>
      </c>
      <c r="B78" s="11">
        <f>IF(Open[[#This Row],[PR Rang beim letzten Turnier]]&gt;Open[[#This Row],[PR Rang]],1,IF(Open[[#This Row],[PR Rang beim letzten Turnier]]=Open[[#This Row],[PR Rang]],0,-1))</f>
        <v>1</v>
      </c>
      <c r="C78" s="147">
        <f>RANK(Open[[#This Row],[PR Punkte]],Open[PR Punkte],0)</f>
        <v>71</v>
      </c>
      <c r="D78" s="25" t="s">
        <v>135</v>
      </c>
      <c r="E78" s="31" t="s">
        <v>13</v>
      </c>
      <c r="F78" s="109">
        <f>SUM(Open[[#This Row],[PR 1]:[PR 3]])</f>
        <v>204.4</v>
      </c>
      <c r="G78" s="109">
        <f>LARGE(Open[[#This Row],[TS SH O 22.02.22]:[PR3]],1)</f>
        <v>142</v>
      </c>
      <c r="H78" s="109">
        <f>LARGE(Open[[#This Row],[TS SH O 22.02.22]:[PR3]],2)</f>
        <v>62.400000000000006</v>
      </c>
      <c r="I78" s="109">
        <f>LARGE(Open[[#This Row],[TS SH O 22.02.22]:[PR3]],3)</f>
        <v>0</v>
      </c>
      <c r="J78" s="31">
        <f>RANK(K78,$K$7:$K$295,0)</f>
        <v>71</v>
      </c>
      <c r="K78" s="109">
        <f>SUM(L78:W78)</f>
        <v>204.4</v>
      </c>
      <c r="L78" s="109" t="str">
        <f>IFERROR(VLOOKUP(Open[[#This Row],[TS SH 22.02.22 Rang]],$AJ$16:$AK$111,2,0)*L$5," ")</f>
        <v xml:space="preserve"> </v>
      </c>
      <c r="M78" s="109" t="str">
        <f>IFERROR(VLOOKUP(Open[[#This Row],[TS SH O 23.04.22 Rang]],$AJ$16:$AK$111,2,0)*M$5," ")</f>
        <v xml:space="preserve"> </v>
      </c>
      <c r="N78" s="109" t="str">
        <f>IFERROR(VLOOKUP(Open[[#This Row],[TS LA O 08.05.22 Rang]],$AJ$16:$AK$111,2,0)*N$5," ")</f>
        <v xml:space="preserve"> </v>
      </c>
      <c r="O78" s="109" t="str">
        <f>IFERROR(VLOOKUP(Open[[#This Row],[TS SG O 25.05.22 Rang]],$AJ$16:$AK$111,2,0)*O$5," ")</f>
        <v xml:space="preserve"> </v>
      </c>
      <c r="P78" s="109" t="str">
        <f>IFERROR(VLOOKUP(Open[[#This Row],[TS SH O 25.06.22 Rang]],$AJ$16:$AK$111,2,0)*P$5," ")</f>
        <v xml:space="preserve"> </v>
      </c>
      <c r="Q78" s="109">
        <f>IFERROR(VLOOKUP(Open[[#This Row],[TS ZH O/A 25.06.22 Rang]],$AJ$16:$AK$111,2,0)*Q$5," ")</f>
        <v>142</v>
      </c>
      <c r="R78" s="109" t="str">
        <f>IFERROR(VLOOKUP(Open[[#This Row],[TS ZH O/B 25.06.22 Rang]],$AJ$16:$AK$111,2,0)*R$5," ")</f>
        <v xml:space="preserve"> </v>
      </c>
      <c r="S78" s="109">
        <f>IFERROR(VLOOKUP(Open[[#This Row],[SM BE O/A 09.07.22 Rang]],$AJ$16:$AK$111,2,0)*S$5," ")</f>
        <v>62.400000000000006</v>
      </c>
      <c r="T78" s="109" t="str">
        <f>IFERROR(VLOOKUP(Open[[#This Row],[SM BE O/B 09.07.22 Rang]],$AJ$16:$AK$111,2,0)*T$5," ")</f>
        <v xml:space="preserve"> </v>
      </c>
      <c r="U78" s="11">
        <v>0</v>
      </c>
      <c r="V78" s="11">
        <v>0</v>
      </c>
      <c r="W78" s="11">
        <v>0</v>
      </c>
      <c r="X78" s="129"/>
      <c r="Y78" s="191"/>
      <c r="Z78" s="191"/>
      <c r="AA78" s="191"/>
      <c r="AB78" s="191"/>
      <c r="AC78" s="191">
        <v>12</v>
      </c>
      <c r="AD78" s="191"/>
      <c r="AE78" s="191">
        <v>17</v>
      </c>
      <c r="AF78" s="191"/>
      <c r="AG78" s="17"/>
      <c r="AH78" s="17"/>
      <c r="AI78" s="17"/>
      <c r="AJ78" s="155">
        <v>62</v>
      </c>
      <c r="AK78" s="155">
        <v>20</v>
      </c>
      <c r="AL78" s="17"/>
      <c r="AM78" s="17"/>
      <c r="AN78" s="17"/>
      <c r="AO78" s="17"/>
      <c r="AP78" s="17"/>
      <c r="AQ78" s="17"/>
      <c r="AR78" s="17"/>
      <c r="BB78" s="4"/>
      <c r="BC78" s="4"/>
      <c r="BD78" s="4"/>
      <c r="BE78" s="4"/>
      <c r="BF78" s="4"/>
      <c r="BG78" s="4"/>
      <c r="BH78" s="4"/>
      <c r="BI78" s="4"/>
    </row>
    <row r="79" spans="1:61" x14ac:dyDescent="0.2">
      <c r="A79" s="11">
        <v>63</v>
      </c>
      <c r="B79" s="11">
        <f>IF(Open[[#This Row],[PR Rang beim letzten Turnier]]&gt;Open[[#This Row],[PR Rang]],1,IF(Open[[#This Row],[PR Rang beim letzten Turnier]]=Open[[#This Row],[PR Rang]],0,-1))</f>
        <v>-1</v>
      </c>
      <c r="C79" s="147">
        <f>RANK(Open[[#This Row],[PR Punkte]],Open[PR Punkte],0)</f>
        <v>73</v>
      </c>
      <c r="D79" s="9" t="s">
        <v>485</v>
      </c>
      <c r="E79" s="9" t="s">
        <v>7</v>
      </c>
      <c r="F79" s="109">
        <f>SUM(Open[[#This Row],[PR 1]:[PR 3]])</f>
        <v>198.4</v>
      </c>
      <c r="G79" s="109">
        <f>LARGE(Open[[#This Row],[TS SH O 22.02.22]:[PR3]],1)</f>
        <v>154</v>
      </c>
      <c r="H79" s="109">
        <f>LARGE(Open[[#This Row],[TS SH O 22.02.22]:[PR3]],2)</f>
        <v>44.4</v>
      </c>
      <c r="I79" s="109">
        <f>LARGE(Open[[#This Row],[TS SH O 22.02.22]:[PR3]],3)</f>
        <v>0</v>
      </c>
      <c r="J79" s="9">
        <f>RANK(K79,$K$7:$K$361,0)</f>
        <v>73</v>
      </c>
      <c r="K79" s="109">
        <f>SUM(L79:W79)</f>
        <v>198.4</v>
      </c>
      <c r="L79" s="109"/>
      <c r="M79" s="109">
        <f>IFERROR(VLOOKUP(Open[[#This Row],[TS SH O 23.04.22 Rang]],$AJ$16:$AK$111,2,0)*M$5," ")</f>
        <v>154</v>
      </c>
      <c r="N79" s="109" t="str">
        <f>IFERROR(VLOOKUP(Open[[#This Row],[TS LA O 08.05.22 Rang]],$AJ$16:$AK$111,2,0)*N$5," ")</f>
        <v xml:space="preserve"> </v>
      </c>
      <c r="O79" s="109">
        <f>IFERROR(VLOOKUP(Open[[#This Row],[TS SG O 25.05.22 Rang]],$AJ$16:$AK$111,2,0)*O$5," ")</f>
        <v>44.4</v>
      </c>
      <c r="P79" s="109" t="str">
        <f>IFERROR(VLOOKUP(Open[[#This Row],[TS SH O 25.06.22 Rang]],$AJ$16:$AK$111,2,0)*P$5," ")</f>
        <v xml:space="preserve"> </v>
      </c>
      <c r="Q79" s="109" t="str">
        <f>IFERROR(VLOOKUP(Open[[#This Row],[TS ZH O/A 25.06.22 Rang]],$AJ$16:$AK$111,2,0)*Q$5," ")</f>
        <v xml:space="preserve"> </v>
      </c>
      <c r="R79" s="109" t="str">
        <f>IFERROR(VLOOKUP(Open[[#This Row],[TS ZH O/B 25.06.22 Rang]],$AJ$16:$AK$111,2,0)*R$5," ")</f>
        <v xml:space="preserve"> </v>
      </c>
      <c r="S79" s="109" t="str">
        <f>IFERROR(VLOOKUP(Open[[#This Row],[SM BE O/A 09.07.22 Rang]],$AJ$16:$AK$111,2,0)*S$5," ")</f>
        <v xml:space="preserve"> </v>
      </c>
      <c r="T79" s="109" t="str">
        <f>IFERROR(VLOOKUP(Open[[#This Row],[SM BE O/B 09.07.22 Rang]],$AJ$16:$AK$111,2,0)*T$5," ")</f>
        <v xml:space="preserve"> </v>
      </c>
      <c r="U79" s="11">
        <v>0</v>
      </c>
      <c r="V79" s="11">
        <v>0</v>
      </c>
      <c r="W79" s="11">
        <v>0</v>
      </c>
      <c r="X79" s="129"/>
      <c r="Y79" s="191">
        <v>15</v>
      </c>
      <c r="Z79" s="191"/>
      <c r="AA79" s="191">
        <v>17</v>
      </c>
      <c r="AB79" s="191"/>
      <c r="AC79" s="191"/>
      <c r="AD79" s="191"/>
      <c r="AE79" s="191"/>
      <c r="AF79" s="191"/>
      <c r="AG79" s="17"/>
      <c r="AH79" s="17"/>
      <c r="AI79" s="17"/>
      <c r="AJ79" s="155">
        <v>63</v>
      </c>
      <c r="AK79" s="155">
        <v>20</v>
      </c>
      <c r="AL79" s="17"/>
      <c r="AM79" s="17"/>
      <c r="AN79" s="17"/>
      <c r="AO79" s="17"/>
      <c r="AP79" s="17"/>
      <c r="AQ79" s="17"/>
      <c r="AR79" s="17"/>
      <c r="BB79" s="4"/>
      <c r="BC79" s="4"/>
      <c r="BD79" s="4"/>
      <c r="BE79" s="4"/>
      <c r="BF79" s="4"/>
      <c r="BG79" s="4"/>
      <c r="BH79" s="4"/>
      <c r="BI79" s="4"/>
    </row>
    <row r="80" spans="1:61" x14ac:dyDescent="0.2">
      <c r="A80" s="11">
        <v>66</v>
      </c>
      <c r="B80" s="11">
        <f>IF(Open[[#This Row],[PR Rang beim letzten Turnier]]&gt;Open[[#This Row],[PR Rang]],1,IF(Open[[#This Row],[PR Rang beim letzten Turnier]]=Open[[#This Row],[PR Rang]],0,-1))</f>
        <v>-1</v>
      </c>
      <c r="C80" s="147">
        <f>RANK(Open[[#This Row],[PR Punkte]],Open[PR Punkte],0)</f>
        <v>74</v>
      </c>
      <c r="D80" s="9" t="s">
        <v>155</v>
      </c>
      <c r="E80" s="9" t="s">
        <v>13</v>
      </c>
      <c r="F80" s="109">
        <f>SUM(Open[[#This Row],[PR 1]:[PR 3]])</f>
        <v>194</v>
      </c>
      <c r="G80" s="109">
        <f>LARGE(Open[[#This Row],[TS SH O 22.02.22]:[PR3]],1)</f>
        <v>194</v>
      </c>
      <c r="H80" s="109">
        <f>LARGE(Open[[#This Row],[TS SH O 22.02.22]:[PR3]],2)</f>
        <v>0</v>
      </c>
      <c r="I80" s="109">
        <f>LARGE(Open[[#This Row],[TS SH O 22.02.22]:[PR3]],3)</f>
        <v>0</v>
      </c>
      <c r="J80" s="9">
        <f>RANK(K80,$K$7:$K$295,0)</f>
        <v>74</v>
      </c>
      <c r="K80" s="109">
        <f>SUM(L80:W80)</f>
        <v>194</v>
      </c>
      <c r="L80" s="109">
        <f>IFERROR(VLOOKUP(Open[[#This Row],[TS SH 22.02.22 Rang]],$AJ$16:$AK$111,2,0)*L$5," ")</f>
        <v>194</v>
      </c>
      <c r="M80" s="109" t="str">
        <f>IFERROR(VLOOKUP(Open[[#This Row],[TS SH O 23.04.22 Rang]],$AJ$16:$AK$111,2,0)*M$5," ")</f>
        <v xml:space="preserve"> </v>
      </c>
      <c r="N80" s="109" t="str">
        <f>IFERROR(VLOOKUP(Open[[#This Row],[TS LA O 08.05.22 Rang]],$AJ$16:$AK$111,2,0)*N$5," ")</f>
        <v xml:space="preserve"> </v>
      </c>
      <c r="O80" s="109" t="str">
        <f>IFERROR(VLOOKUP(Open[[#This Row],[TS SG O 25.05.22 Rang]],$AJ$16:$AK$111,2,0)*O$5," ")</f>
        <v xml:space="preserve"> </v>
      </c>
      <c r="P80" s="109" t="str">
        <f>IFERROR(VLOOKUP(Open[[#This Row],[TS SH O 25.06.22 Rang]],$AJ$16:$AK$111,2,0)*P$5," ")</f>
        <v xml:space="preserve"> </v>
      </c>
      <c r="Q80" s="109" t="str">
        <f>IFERROR(VLOOKUP(Open[[#This Row],[TS ZH O/A 25.06.22 Rang]],$AJ$16:$AK$111,2,0)*Q$5," ")</f>
        <v xml:space="preserve"> </v>
      </c>
      <c r="R80" s="109" t="str">
        <f>IFERROR(VLOOKUP(Open[[#This Row],[TS ZH O/B 25.06.22 Rang]],$AJ$16:$AK$111,2,0)*R$5," ")</f>
        <v xml:space="preserve"> </v>
      </c>
      <c r="S80" s="109" t="str">
        <f>IFERROR(VLOOKUP(Open[[#This Row],[SM BE O/A 09.07.22 Rang]],$AJ$16:$AK$111,2,0)*S$5," ")</f>
        <v xml:space="preserve"> </v>
      </c>
      <c r="T80" s="109" t="str">
        <f>IFERROR(VLOOKUP(Open[[#This Row],[SM BE O/B 09.07.22 Rang]],$AJ$16:$AK$111,2,0)*T$5," ")</f>
        <v xml:space="preserve"> </v>
      </c>
      <c r="U80" s="11">
        <v>0</v>
      </c>
      <c r="V80" s="11">
        <v>0</v>
      </c>
      <c r="W80" s="11">
        <v>0</v>
      </c>
      <c r="X80" s="129">
        <v>11</v>
      </c>
      <c r="Y80" s="191"/>
      <c r="Z80" s="191"/>
      <c r="AA80" s="191"/>
      <c r="AB80" s="191"/>
      <c r="AC80" s="191"/>
      <c r="AD80" s="191"/>
      <c r="AE80" s="191"/>
      <c r="AF80" s="191"/>
      <c r="AG80" s="17"/>
      <c r="AH80" s="17"/>
      <c r="AI80" s="17"/>
      <c r="AJ80" s="155">
        <v>64</v>
      </c>
      <c r="AK80" s="155">
        <v>20</v>
      </c>
      <c r="AL80" s="17"/>
      <c r="AM80" s="17"/>
      <c r="AN80" s="17"/>
      <c r="AO80" s="17"/>
      <c r="AP80" s="17"/>
      <c r="AQ80" s="17"/>
      <c r="AR80" s="17"/>
      <c r="BB80" s="4"/>
      <c r="BC80" s="4"/>
      <c r="BD80" s="4"/>
      <c r="BE80" s="4"/>
      <c r="BF80" s="4"/>
      <c r="BG80" s="4"/>
      <c r="BH80" s="4"/>
      <c r="BI80" s="4"/>
    </row>
    <row r="81" spans="1:61" x14ac:dyDescent="0.2">
      <c r="A81" s="11">
        <v>66</v>
      </c>
      <c r="B81" s="11">
        <f>IF(Open[[#This Row],[PR Rang beim letzten Turnier]]&gt;Open[[#This Row],[PR Rang]],1,IF(Open[[#This Row],[PR Rang beim letzten Turnier]]=Open[[#This Row],[PR Rang]],0,-1))</f>
        <v>-1</v>
      </c>
      <c r="C81" s="147">
        <f>RANK(Open[[#This Row],[PR Punkte]],Open[PR Punkte],0)</f>
        <v>74</v>
      </c>
      <c r="D81" s="25" t="s">
        <v>332</v>
      </c>
      <c r="E81" s="17" t="s">
        <v>18</v>
      </c>
      <c r="F81" s="109">
        <f>SUM(Open[[#This Row],[PR 1]:[PR 3]])</f>
        <v>194</v>
      </c>
      <c r="G81" s="109">
        <f>LARGE(Open[[#This Row],[TS SH O 22.02.22]:[PR3]],1)</f>
        <v>194</v>
      </c>
      <c r="H81" s="109">
        <f>LARGE(Open[[#This Row],[TS SH O 22.02.22]:[PR3]],2)</f>
        <v>0</v>
      </c>
      <c r="I81" s="109">
        <f>LARGE(Open[[#This Row],[TS SH O 22.02.22]:[PR3]],3)</f>
        <v>0</v>
      </c>
      <c r="J81" s="17">
        <f>RANK(K81,$K$7:$K$295,0)</f>
        <v>74</v>
      </c>
      <c r="K81" s="109">
        <f>SUM(L81:W81)</f>
        <v>194</v>
      </c>
      <c r="L81" s="109">
        <f>IFERROR(VLOOKUP(Open[[#This Row],[TS SH 22.02.22 Rang]],$AJ$16:$AK$111,2,0)*L$5," ")</f>
        <v>194</v>
      </c>
      <c r="M81" s="109" t="str">
        <f>IFERROR(VLOOKUP(Open[[#This Row],[TS SH O 23.04.22 Rang]],$AJ$16:$AK$111,2,0)*M$5," ")</f>
        <v xml:space="preserve"> </v>
      </c>
      <c r="N81" s="109" t="str">
        <f>IFERROR(VLOOKUP(Open[[#This Row],[TS LA O 08.05.22 Rang]],$AJ$16:$AK$111,2,0)*N$5," ")</f>
        <v xml:space="preserve"> </v>
      </c>
      <c r="O81" s="109" t="str">
        <f>IFERROR(VLOOKUP(Open[[#This Row],[TS SG O 25.05.22 Rang]],$AJ$16:$AK$111,2,0)*O$5," ")</f>
        <v xml:space="preserve"> </v>
      </c>
      <c r="P81" s="109" t="str">
        <f>IFERROR(VLOOKUP(Open[[#This Row],[TS SH O 25.06.22 Rang]],$AJ$16:$AK$111,2,0)*P$5," ")</f>
        <v xml:space="preserve"> </v>
      </c>
      <c r="Q81" s="109" t="str">
        <f>IFERROR(VLOOKUP(Open[[#This Row],[TS ZH O/A 25.06.22 Rang]],$AJ$16:$AK$111,2,0)*Q$5," ")</f>
        <v xml:space="preserve"> </v>
      </c>
      <c r="R81" s="109" t="str">
        <f>IFERROR(VLOOKUP(Open[[#This Row],[TS ZH O/B 25.06.22 Rang]],$AJ$16:$AK$111,2,0)*R$5," ")</f>
        <v xml:space="preserve"> </v>
      </c>
      <c r="S81" s="109" t="str">
        <f>IFERROR(VLOOKUP(Open[[#This Row],[SM BE O/A 09.07.22 Rang]],$AJ$16:$AK$111,2,0)*S$5," ")</f>
        <v xml:space="preserve"> </v>
      </c>
      <c r="T81" s="109" t="str">
        <f>IFERROR(VLOOKUP(Open[[#This Row],[SM BE O/B 09.07.22 Rang]],$AJ$16:$AK$111,2,0)*T$5," ")</f>
        <v xml:space="preserve"> </v>
      </c>
      <c r="U81" s="11">
        <v>0</v>
      </c>
      <c r="V81" s="11">
        <v>0</v>
      </c>
      <c r="W81" s="11">
        <v>0</v>
      </c>
      <c r="X81" s="129">
        <v>16</v>
      </c>
      <c r="Y81" s="191"/>
      <c r="Z81" s="191"/>
      <c r="AA81" s="191"/>
      <c r="AB81" s="191"/>
      <c r="AC81" s="191"/>
      <c r="AD81" s="191"/>
      <c r="AE81" s="191"/>
      <c r="AF81" s="191"/>
      <c r="AG81" s="17"/>
      <c r="AH81" s="17"/>
      <c r="AI81" s="17"/>
      <c r="AJ81" s="155">
        <v>65</v>
      </c>
      <c r="AK81" s="155">
        <v>10</v>
      </c>
      <c r="AL81" s="17"/>
      <c r="AM81" s="17"/>
      <c r="AN81" s="17"/>
      <c r="AO81" s="17"/>
      <c r="AP81" s="17"/>
      <c r="AQ81" s="17"/>
      <c r="AR81" s="17"/>
      <c r="BB81" s="4"/>
      <c r="BC81" s="4"/>
      <c r="BD81" s="4"/>
      <c r="BE81" s="4"/>
      <c r="BF81" s="4"/>
      <c r="BG81" s="4"/>
      <c r="BH81" s="4"/>
      <c r="BI81" s="4"/>
    </row>
    <row r="82" spans="1:61" x14ac:dyDescent="0.2">
      <c r="A82" s="11">
        <v>66</v>
      </c>
      <c r="B82" s="11">
        <f>IF(Open[[#This Row],[PR Rang beim letzten Turnier]]&gt;Open[[#This Row],[PR Rang]],1,IF(Open[[#This Row],[PR Rang beim letzten Turnier]]=Open[[#This Row],[PR Rang]],0,-1))</f>
        <v>-1</v>
      </c>
      <c r="C82" s="147">
        <f>RANK(Open[[#This Row],[PR Punkte]],Open[PR Punkte],0)</f>
        <v>74</v>
      </c>
      <c r="D82" s="9" t="s">
        <v>416</v>
      </c>
      <c r="E82" s="9" t="s">
        <v>18</v>
      </c>
      <c r="F82" s="109">
        <f>SUM(Open[[#This Row],[PR 1]:[PR 3]])</f>
        <v>194</v>
      </c>
      <c r="G82" s="109">
        <f>LARGE(Open[[#This Row],[TS SH O 22.02.22]:[PR3]],1)</f>
        <v>194</v>
      </c>
      <c r="H82" s="109">
        <f>LARGE(Open[[#This Row],[TS SH O 22.02.22]:[PR3]],2)</f>
        <v>0</v>
      </c>
      <c r="I82" s="109">
        <f>LARGE(Open[[#This Row],[TS SH O 22.02.22]:[PR3]],3)</f>
        <v>0</v>
      </c>
      <c r="J82" s="9">
        <f>RANK(K82,$K$7:$K$295,0)</f>
        <v>74</v>
      </c>
      <c r="K82" s="109">
        <f>SUM(L82:W82)</f>
        <v>194</v>
      </c>
      <c r="L82" s="109">
        <f>IFERROR(VLOOKUP(Open[[#This Row],[TS SH 22.02.22 Rang]],$AJ$16:$AK$111,2,0)*L$5," ")</f>
        <v>194</v>
      </c>
      <c r="M82" s="109" t="str">
        <f>IFERROR(VLOOKUP(Open[[#This Row],[TS SH O 23.04.22 Rang]],$AJ$16:$AK$111,2,0)*M$5," ")</f>
        <v xml:space="preserve"> </v>
      </c>
      <c r="N82" s="109" t="str">
        <f>IFERROR(VLOOKUP(Open[[#This Row],[TS LA O 08.05.22 Rang]],$AJ$16:$AK$111,2,0)*N$5," ")</f>
        <v xml:space="preserve"> </v>
      </c>
      <c r="O82" s="109" t="str">
        <f>IFERROR(VLOOKUP(Open[[#This Row],[TS SG O 25.05.22 Rang]],$AJ$16:$AK$111,2,0)*O$5," ")</f>
        <v xml:space="preserve"> </v>
      </c>
      <c r="P82" s="109" t="str">
        <f>IFERROR(VLOOKUP(Open[[#This Row],[TS SH O 25.06.22 Rang]],$AJ$16:$AK$111,2,0)*P$5," ")</f>
        <v xml:space="preserve"> </v>
      </c>
      <c r="Q82" s="109" t="str">
        <f>IFERROR(VLOOKUP(Open[[#This Row],[TS ZH O/A 25.06.22 Rang]],$AJ$16:$AK$111,2,0)*Q$5," ")</f>
        <v xml:space="preserve"> </v>
      </c>
      <c r="R82" s="109" t="str">
        <f>IFERROR(VLOOKUP(Open[[#This Row],[TS ZH O/B 25.06.22 Rang]],$AJ$16:$AK$111,2,0)*R$5," ")</f>
        <v xml:space="preserve"> </v>
      </c>
      <c r="S82" s="109" t="str">
        <f>IFERROR(VLOOKUP(Open[[#This Row],[SM BE O/A 09.07.22 Rang]],$AJ$16:$AK$111,2,0)*S$5," ")</f>
        <v xml:space="preserve"> </v>
      </c>
      <c r="T82" s="109" t="str">
        <f>IFERROR(VLOOKUP(Open[[#This Row],[SM BE O/B 09.07.22 Rang]],$AJ$16:$AK$111,2,0)*T$5," ")</f>
        <v xml:space="preserve"> </v>
      </c>
      <c r="U82" s="11">
        <v>0</v>
      </c>
      <c r="V82" s="11">
        <v>0</v>
      </c>
      <c r="W82" s="11">
        <v>0</v>
      </c>
      <c r="X82" s="129">
        <v>12</v>
      </c>
      <c r="Y82" s="191"/>
      <c r="Z82" s="191"/>
      <c r="AA82" s="191"/>
      <c r="AB82" s="191"/>
      <c r="AC82" s="191"/>
      <c r="AD82" s="191"/>
      <c r="AE82" s="191"/>
      <c r="AF82" s="191"/>
      <c r="AG82" s="161"/>
      <c r="AH82" s="161"/>
      <c r="AI82" s="161"/>
      <c r="AJ82" s="163">
        <v>66</v>
      </c>
      <c r="AK82" s="163">
        <v>10</v>
      </c>
      <c r="AL82" s="161"/>
      <c r="AM82" s="17"/>
      <c r="AN82" s="17"/>
      <c r="AO82" s="17"/>
      <c r="AP82" s="17"/>
      <c r="AQ82" s="17"/>
      <c r="AR82" s="17"/>
      <c r="BB82" s="4"/>
      <c r="BC82" s="4"/>
      <c r="BD82" s="4"/>
      <c r="BE82" s="4"/>
      <c r="BF82" s="4"/>
      <c r="BG82" s="4"/>
      <c r="BH82" s="4"/>
      <c r="BI82" s="4"/>
    </row>
    <row r="83" spans="1:61" x14ac:dyDescent="0.2">
      <c r="A83" s="11">
        <v>66</v>
      </c>
      <c r="B83" s="11">
        <f>IF(Open[[#This Row],[PR Rang beim letzten Turnier]]&gt;Open[[#This Row],[PR Rang]],1,IF(Open[[#This Row],[PR Rang beim letzten Turnier]]=Open[[#This Row],[PR Rang]],0,-1))</f>
        <v>-1</v>
      </c>
      <c r="C83" s="147">
        <f>RANK(Open[[#This Row],[PR Punkte]],Open[PR Punkte],0)</f>
        <v>74</v>
      </c>
      <c r="D83" s="9" t="s">
        <v>417</v>
      </c>
      <c r="E83" s="9" t="s">
        <v>18</v>
      </c>
      <c r="F83" s="109">
        <f>SUM(Open[[#This Row],[PR 1]:[PR 3]])</f>
        <v>194</v>
      </c>
      <c r="G83" s="109">
        <f>LARGE(Open[[#This Row],[TS SH O 22.02.22]:[PR3]],1)</f>
        <v>194</v>
      </c>
      <c r="H83" s="109">
        <f>LARGE(Open[[#This Row],[TS SH O 22.02.22]:[PR3]],2)</f>
        <v>0</v>
      </c>
      <c r="I83" s="109">
        <f>LARGE(Open[[#This Row],[TS SH O 22.02.22]:[PR3]],3)</f>
        <v>0</v>
      </c>
      <c r="J83" s="9">
        <f>RANK(K83,$K$7:$K$295,0)</f>
        <v>74</v>
      </c>
      <c r="K83" s="109">
        <f>SUM(L83:W83)</f>
        <v>194</v>
      </c>
      <c r="L83" s="109">
        <f>IFERROR(VLOOKUP(Open[[#This Row],[TS SH 22.02.22 Rang]],$AJ$16:$AK$111,2,0)*L$5," ")</f>
        <v>194</v>
      </c>
      <c r="M83" s="109" t="str">
        <f>IFERROR(VLOOKUP(Open[[#This Row],[TS SH O 23.04.22 Rang]],$AJ$16:$AK$111,2,0)*M$5," ")</f>
        <v xml:space="preserve"> </v>
      </c>
      <c r="N83" s="109" t="str">
        <f>IFERROR(VLOOKUP(Open[[#This Row],[TS LA O 08.05.22 Rang]],$AJ$16:$AK$111,2,0)*N$5," ")</f>
        <v xml:space="preserve"> </v>
      </c>
      <c r="O83" s="109" t="str">
        <f>IFERROR(VLOOKUP(Open[[#This Row],[TS SG O 25.05.22 Rang]],$AJ$16:$AK$111,2,0)*O$5," ")</f>
        <v xml:space="preserve"> </v>
      </c>
      <c r="P83" s="109" t="str">
        <f>IFERROR(VLOOKUP(Open[[#This Row],[TS SH O 25.06.22 Rang]],$AJ$16:$AK$111,2,0)*P$5," ")</f>
        <v xml:space="preserve"> </v>
      </c>
      <c r="Q83" s="109" t="str">
        <f>IFERROR(VLOOKUP(Open[[#This Row],[TS ZH O/A 25.06.22 Rang]],$AJ$16:$AK$111,2,0)*Q$5," ")</f>
        <v xml:space="preserve"> </v>
      </c>
      <c r="R83" s="109" t="str">
        <f>IFERROR(VLOOKUP(Open[[#This Row],[TS ZH O/B 25.06.22 Rang]],$AJ$16:$AK$111,2,0)*R$5," ")</f>
        <v xml:space="preserve"> </v>
      </c>
      <c r="S83" s="109" t="str">
        <f>IFERROR(VLOOKUP(Open[[#This Row],[SM BE O/A 09.07.22 Rang]],$AJ$16:$AK$111,2,0)*S$5," ")</f>
        <v xml:space="preserve"> </v>
      </c>
      <c r="T83" s="109" t="str">
        <f>IFERROR(VLOOKUP(Open[[#This Row],[SM BE O/B 09.07.22 Rang]],$AJ$16:$AK$111,2,0)*T$5," ")</f>
        <v xml:space="preserve"> </v>
      </c>
      <c r="U83" s="11">
        <v>0</v>
      </c>
      <c r="V83" s="11">
        <v>0</v>
      </c>
      <c r="W83" s="11">
        <v>0</v>
      </c>
      <c r="X83" s="129">
        <v>12</v>
      </c>
      <c r="Y83" s="191"/>
      <c r="Z83" s="191"/>
      <c r="AA83" s="191"/>
      <c r="AB83" s="191"/>
      <c r="AC83" s="191"/>
      <c r="AD83" s="191"/>
      <c r="AE83" s="191"/>
      <c r="AF83" s="191"/>
      <c r="AG83" s="17"/>
      <c r="AH83" s="17"/>
      <c r="AI83" s="17"/>
      <c r="AJ83" s="155">
        <v>67</v>
      </c>
      <c r="AK83" s="155">
        <v>10</v>
      </c>
      <c r="AL83" s="17"/>
      <c r="AM83" s="17"/>
      <c r="AN83" s="17"/>
      <c r="AO83" s="17"/>
      <c r="AP83" s="17"/>
      <c r="AQ83" s="17"/>
      <c r="AR83" s="17"/>
      <c r="BB83" s="4"/>
      <c r="BC83" s="4"/>
      <c r="BD83" s="4"/>
      <c r="BE83" s="4"/>
      <c r="BF83" s="4"/>
      <c r="BG83" s="4"/>
      <c r="BH83" s="4"/>
      <c r="BI83" s="4"/>
    </row>
    <row r="84" spans="1:61" x14ac:dyDescent="0.2">
      <c r="A84" s="11">
        <v>66</v>
      </c>
      <c r="B84" s="11">
        <f>IF(Open[[#This Row],[PR Rang beim letzten Turnier]]&gt;Open[[#This Row],[PR Rang]],1,IF(Open[[#This Row],[PR Rang beim letzten Turnier]]=Open[[#This Row],[PR Rang]],0,-1))</f>
        <v>-1</v>
      </c>
      <c r="C84" s="147">
        <f>RANK(Open[[#This Row],[PR Punkte]],Open[PR Punkte],0)</f>
        <v>74</v>
      </c>
      <c r="D84" s="9" t="s">
        <v>419</v>
      </c>
      <c r="E84" s="9" t="s">
        <v>18</v>
      </c>
      <c r="F84" s="109">
        <f>SUM(Open[[#This Row],[PR 1]:[PR 3]])</f>
        <v>194</v>
      </c>
      <c r="G84" s="109">
        <f>LARGE(Open[[#This Row],[TS SH O 22.02.22]:[PR3]],1)</f>
        <v>194</v>
      </c>
      <c r="H84" s="109">
        <f>LARGE(Open[[#This Row],[TS SH O 22.02.22]:[PR3]],2)</f>
        <v>0</v>
      </c>
      <c r="I84" s="109">
        <f>LARGE(Open[[#This Row],[TS SH O 22.02.22]:[PR3]],3)</f>
        <v>0</v>
      </c>
      <c r="J84" s="9">
        <f>RANK(K84,$K$7:$K$295,0)</f>
        <v>74</v>
      </c>
      <c r="K84" s="109">
        <f>SUM(L84:W84)</f>
        <v>194</v>
      </c>
      <c r="L84" s="109">
        <f>IFERROR(VLOOKUP(Open[[#This Row],[TS SH 22.02.22 Rang]],$AJ$16:$AK$111,2,0)*L$5," ")</f>
        <v>194</v>
      </c>
      <c r="M84" s="109" t="str">
        <f>IFERROR(VLOOKUP(Open[[#This Row],[TS SH O 23.04.22 Rang]],$AJ$16:$AK$111,2,0)*M$5," ")</f>
        <v xml:space="preserve"> </v>
      </c>
      <c r="N84" s="109" t="str">
        <f>IFERROR(VLOOKUP(Open[[#This Row],[TS LA O 08.05.22 Rang]],$AJ$16:$AK$111,2,0)*N$5," ")</f>
        <v xml:space="preserve"> </v>
      </c>
      <c r="O84" s="109" t="str">
        <f>IFERROR(VLOOKUP(Open[[#This Row],[TS SG O 25.05.22 Rang]],$AJ$16:$AK$111,2,0)*O$5," ")</f>
        <v xml:space="preserve"> </v>
      </c>
      <c r="P84" s="109" t="str">
        <f>IFERROR(VLOOKUP(Open[[#This Row],[TS SH O 25.06.22 Rang]],$AJ$16:$AK$111,2,0)*P$5," ")</f>
        <v xml:space="preserve"> </v>
      </c>
      <c r="Q84" s="109" t="str">
        <f>IFERROR(VLOOKUP(Open[[#This Row],[TS ZH O/A 25.06.22 Rang]],$AJ$16:$AK$111,2,0)*Q$5," ")</f>
        <v xml:space="preserve"> </v>
      </c>
      <c r="R84" s="109" t="str">
        <f>IFERROR(VLOOKUP(Open[[#This Row],[TS ZH O/B 25.06.22 Rang]],$AJ$16:$AK$111,2,0)*R$5," ")</f>
        <v xml:space="preserve"> </v>
      </c>
      <c r="S84" s="109" t="str">
        <f>IFERROR(VLOOKUP(Open[[#This Row],[SM BE O/A 09.07.22 Rang]],$AJ$16:$AK$111,2,0)*S$5," ")</f>
        <v xml:space="preserve"> </v>
      </c>
      <c r="T84" s="109" t="str">
        <f>IFERROR(VLOOKUP(Open[[#This Row],[SM BE O/B 09.07.22 Rang]],$AJ$16:$AK$111,2,0)*T$5," ")</f>
        <v xml:space="preserve"> </v>
      </c>
      <c r="U84" s="11">
        <v>0</v>
      </c>
      <c r="V84" s="11">
        <v>0</v>
      </c>
      <c r="W84" s="11">
        <v>0</v>
      </c>
      <c r="X84" s="129">
        <v>13</v>
      </c>
      <c r="Y84" s="191"/>
      <c r="Z84" s="191"/>
      <c r="AA84" s="191"/>
      <c r="AB84" s="191"/>
      <c r="AC84" s="191"/>
      <c r="AD84" s="191"/>
      <c r="AE84" s="191"/>
      <c r="AF84" s="191"/>
      <c r="AG84" s="17"/>
      <c r="AH84" s="17"/>
      <c r="AI84" s="17"/>
      <c r="AJ84" s="155">
        <v>68</v>
      </c>
      <c r="AK84" s="155">
        <v>10</v>
      </c>
      <c r="AL84" s="17"/>
      <c r="AM84" s="17"/>
      <c r="AN84" s="17"/>
      <c r="AO84" s="17"/>
      <c r="AP84" s="17"/>
      <c r="AQ84" s="17"/>
      <c r="AR84" s="17"/>
      <c r="BB84" s="4"/>
      <c r="BC84" s="4"/>
      <c r="BD84" s="4"/>
      <c r="BE84" s="4"/>
      <c r="BF84" s="4"/>
      <c r="BG84" s="4"/>
      <c r="BH84" s="4"/>
      <c r="BI84" s="4"/>
    </row>
    <row r="85" spans="1:61" x14ac:dyDescent="0.2">
      <c r="A85" s="11">
        <v>66</v>
      </c>
      <c r="B85" s="11">
        <f>IF(Open[[#This Row],[PR Rang beim letzten Turnier]]&gt;Open[[#This Row],[PR Rang]],1,IF(Open[[#This Row],[PR Rang beim letzten Turnier]]=Open[[#This Row],[PR Rang]],0,-1))</f>
        <v>-1</v>
      </c>
      <c r="C85" s="147">
        <f>RANK(Open[[#This Row],[PR Punkte]],Open[PR Punkte],0)</f>
        <v>74</v>
      </c>
      <c r="D85" s="9" t="s">
        <v>418</v>
      </c>
      <c r="E85" s="9" t="s">
        <v>18</v>
      </c>
      <c r="F85" s="109">
        <f>SUM(Open[[#This Row],[PR 1]:[PR 3]])</f>
        <v>194</v>
      </c>
      <c r="G85" s="109">
        <f>LARGE(Open[[#This Row],[TS SH O 22.02.22]:[PR3]],1)</f>
        <v>194</v>
      </c>
      <c r="H85" s="109">
        <f>LARGE(Open[[#This Row],[TS SH O 22.02.22]:[PR3]],2)</f>
        <v>0</v>
      </c>
      <c r="I85" s="109">
        <f>LARGE(Open[[#This Row],[TS SH O 22.02.22]:[PR3]],3)</f>
        <v>0</v>
      </c>
      <c r="J85" s="9">
        <f>RANK(K85,$K$7:$K$295,0)</f>
        <v>74</v>
      </c>
      <c r="K85" s="109">
        <f>SUM(L85:W85)</f>
        <v>194</v>
      </c>
      <c r="L85" s="109">
        <f>IFERROR(VLOOKUP(Open[[#This Row],[TS SH 22.02.22 Rang]],$AJ$16:$AK$111,2,0)*L$5," ")</f>
        <v>194</v>
      </c>
      <c r="M85" s="109" t="str">
        <f>IFERROR(VLOOKUP(Open[[#This Row],[TS SH O 23.04.22 Rang]],$AJ$16:$AK$111,2,0)*M$5," ")</f>
        <v xml:space="preserve"> </v>
      </c>
      <c r="N85" s="109" t="str">
        <f>IFERROR(VLOOKUP(Open[[#This Row],[TS LA O 08.05.22 Rang]],$AJ$16:$AK$111,2,0)*N$5," ")</f>
        <v xml:space="preserve"> </v>
      </c>
      <c r="O85" s="109" t="str">
        <f>IFERROR(VLOOKUP(Open[[#This Row],[TS SG O 25.05.22 Rang]],$AJ$16:$AK$111,2,0)*O$5," ")</f>
        <v xml:space="preserve"> </v>
      </c>
      <c r="P85" s="109" t="str">
        <f>IFERROR(VLOOKUP(Open[[#This Row],[TS SH O 25.06.22 Rang]],$AJ$16:$AK$111,2,0)*P$5," ")</f>
        <v xml:space="preserve"> </v>
      </c>
      <c r="Q85" s="109" t="str">
        <f>IFERROR(VLOOKUP(Open[[#This Row],[TS ZH O/A 25.06.22 Rang]],$AJ$16:$AK$111,2,0)*Q$5," ")</f>
        <v xml:space="preserve"> </v>
      </c>
      <c r="R85" s="109" t="str">
        <f>IFERROR(VLOOKUP(Open[[#This Row],[TS ZH O/B 25.06.22 Rang]],$AJ$16:$AK$111,2,0)*R$5," ")</f>
        <v xml:space="preserve"> </v>
      </c>
      <c r="S85" s="109" t="str">
        <f>IFERROR(VLOOKUP(Open[[#This Row],[SM BE O/A 09.07.22 Rang]],$AJ$16:$AK$111,2,0)*S$5," ")</f>
        <v xml:space="preserve"> </v>
      </c>
      <c r="T85" s="109" t="str">
        <f>IFERROR(VLOOKUP(Open[[#This Row],[SM BE O/B 09.07.22 Rang]],$AJ$16:$AK$111,2,0)*T$5," ")</f>
        <v xml:space="preserve"> </v>
      </c>
      <c r="U85" s="11">
        <v>0</v>
      </c>
      <c r="V85" s="11">
        <v>0</v>
      </c>
      <c r="W85" s="11">
        <v>0</v>
      </c>
      <c r="X85" s="129">
        <v>13</v>
      </c>
      <c r="Y85" s="191"/>
      <c r="Z85" s="191"/>
      <c r="AA85" s="191"/>
      <c r="AB85" s="191"/>
      <c r="AC85" s="191"/>
      <c r="AD85" s="191"/>
      <c r="AE85" s="191"/>
      <c r="AF85" s="191"/>
      <c r="AG85" s="17"/>
      <c r="AH85" s="17"/>
      <c r="AI85" s="17"/>
      <c r="AJ85" s="155">
        <v>69</v>
      </c>
      <c r="AK85" s="155">
        <v>10</v>
      </c>
      <c r="AL85" s="17"/>
      <c r="AM85" s="17"/>
      <c r="AN85" s="17"/>
      <c r="AO85" s="17"/>
      <c r="AP85" s="17"/>
      <c r="AQ85" s="17"/>
      <c r="AR85" s="17"/>
      <c r="BB85" s="4"/>
      <c r="BC85" s="4"/>
      <c r="BD85" s="4"/>
      <c r="BE85" s="4"/>
      <c r="BF85" s="4"/>
      <c r="BG85" s="4"/>
      <c r="BH85" s="4"/>
      <c r="BI85" s="4"/>
    </row>
    <row r="86" spans="1:61" x14ac:dyDescent="0.2">
      <c r="A86" s="11">
        <v>66</v>
      </c>
      <c r="B86" s="11">
        <f>IF(Open[[#This Row],[PR Rang beim letzten Turnier]]&gt;Open[[#This Row],[PR Rang]],1,IF(Open[[#This Row],[PR Rang beim letzten Turnier]]=Open[[#This Row],[PR Rang]],0,-1))</f>
        <v>-1</v>
      </c>
      <c r="C86" s="147">
        <f>RANK(Open[[#This Row],[PR Punkte]],Open[PR Punkte],0)</f>
        <v>74</v>
      </c>
      <c r="D86" s="9" t="s">
        <v>421</v>
      </c>
      <c r="E86" s="9" t="s">
        <v>18</v>
      </c>
      <c r="F86" s="109">
        <f>SUM(Open[[#This Row],[PR 1]:[PR 3]])</f>
        <v>194</v>
      </c>
      <c r="G86" s="109">
        <f>LARGE(Open[[#This Row],[TS SH O 22.02.22]:[PR3]],1)</f>
        <v>194</v>
      </c>
      <c r="H86" s="109">
        <f>LARGE(Open[[#This Row],[TS SH O 22.02.22]:[PR3]],2)</f>
        <v>0</v>
      </c>
      <c r="I86" s="109">
        <f>LARGE(Open[[#This Row],[TS SH O 22.02.22]:[PR3]],3)</f>
        <v>0</v>
      </c>
      <c r="J86" s="9">
        <f>RANK(K86,$K$7:$K$295,0)</f>
        <v>74</v>
      </c>
      <c r="K86" s="109">
        <f>SUM(L86:W86)</f>
        <v>194</v>
      </c>
      <c r="L86" s="109">
        <f>IFERROR(VLOOKUP(Open[[#This Row],[TS SH 22.02.22 Rang]],$AJ$16:$AK$111,2,0)*L$5," ")</f>
        <v>194</v>
      </c>
      <c r="M86" s="109" t="str">
        <f>IFERROR(VLOOKUP(Open[[#This Row],[TS SH O 23.04.22 Rang]],$AJ$16:$AK$111,2,0)*M$5," ")</f>
        <v xml:space="preserve"> </v>
      </c>
      <c r="N86" s="109" t="str">
        <f>IFERROR(VLOOKUP(Open[[#This Row],[TS LA O 08.05.22 Rang]],$AJ$16:$AK$111,2,0)*N$5," ")</f>
        <v xml:space="preserve"> </v>
      </c>
      <c r="O86" s="109" t="str">
        <f>IFERROR(VLOOKUP(Open[[#This Row],[TS SG O 25.05.22 Rang]],$AJ$16:$AK$111,2,0)*O$5," ")</f>
        <v xml:space="preserve"> </v>
      </c>
      <c r="P86" s="109" t="str">
        <f>IFERROR(VLOOKUP(Open[[#This Row],[TS SH O 25.06.22 Rang]],$AJ$16:$AK$111,2,0)*P$5," ")</f>
        <v xml:space="preserve"> </v>
      </c>
      <c r="Q86" s="109" t="str">
        <f>IFERROR(VLOOKUP(Open[[#This Row],[TS ZH O/A 25.06.22 Rang]],$AJ$16:$AK$111,2,0)*Q$5," ")</f>
        <v xml:space="preserve"> </v>
      </c>
      <c r="R86" s="109" t="str">
        <f>IFERROR(VLOOKUP(Open[[#This Row],[TS ZH O/B 25.06.22 Rang]],$AJ$16:$AK$111,2,0)*R$5," ")</f>
        <v xml:space="preserve"> </v>
      </c>
      <c r="S86" s="109" t="str">
        <f>IFERROR(VLOOKUP(Open[[#This Row],[SM BE O/A 09.07.22 Rang]],$AJ$16:$AK$111,2,0)*S$5," ")</f>
        <v xml:space="preserve"> </v>
      </c>
      <c r="T86" s="109" t="str">
        <f>IFERROR(VLOOKUP(Open[[#This Row],[SM BE O/B 09.07.22 Rang]],$AJ$16:$AK$111,2,0)*T$5," ")</f>
        <v xml:space="preserve"> </v>
      </c>
      <c r="U86" s="11">
        <v>0</v>
      </c>
      <c r="V86" s="11">
        <v>0</v>
      </c>
      <c r="W86" s="11">
        <v>0</v>
      </c>
      <c r="X86" s="129">
        <v>14</v>
      </c>
      <c r="Y86" s="191"/>
      <c r="Z86" s="191"/>
      <c r="AA86" s="191"/>
      <c r="AB86" s="191"/>
      <c r="AC86" s="191"/>
      <c r="AD86" s="191"/>
      <c r="AE86" s="191"/>
      <c r="AF86" s="191"/>
      <c r="AG86" s="17"/>
      <c r="AH86" s="17"/>
      <c r="AI86" s="17"/>
      <c r="AJ86" s="155">
        <v>70</v>
      </c>
      <c r="AK86" s="155">
        <v>10</v>
      </c>
      <c r="AL86" s="17"/>
      <c r="AM86" s="17"/>
      <c r="AN86" s="17"/>
      <c r="AO86" s="17"/>
      <c r="AP86" s="17"/>
      <c r="AQ86" s="17"/>
      <c r="AR86" s="17"/>
      <c r="BB86" s="4"/>
      <c r="BC86" s="4"/>
      <c r="BD86" s="4"/>
      <c r="BE86" s="4"/>
      <c r="BF86" s="4"/>
      <c r="BG86" s="4"/>
      <c r="BH86" s="4"/>
      <c r="BI86" s="4"/>
    </row>
    <row r="87" spans="1:61" x14ac:dyDescent="0.2">
      <c r="A87" s="11">
        <v>66</v>
      </c>
      <c r="B87" s="11">
        <f>IF(Open[[#This Row],[PR Rang beim letzten Turnier]]&gt;Open[[#This Row],[PR Rang]],1,IF(Open[[#This Row],[PR Rang beim letzten Turnier]]=Open[[#This Row],[PR Rang]],0,-1))</f>
        <v>-1</v>
      </c>
      <c r="C87" s="147">
        <f>RANK(Open[[#This Row],[PR Punkte]],Open[PR Punkte],0)</f>
        <v>74</v>
      </c>
      <c r="D87" s="9" t="s">
        <v>420</v>
      </c>
      <c r="E87" s="9" t="s">
        <v>18</v>
      </c>
      <c r="F87" s="109">
        <f>SUM(Open[[#This Row],[PR 1]:[PR 3]])</f>
        <v>194</v>
      </c>
      <c r="G87" s="109">
        <f>LARGE(Open[[#This Row],[TS SH O 22.02.22]:[PR3]],1)</f>
        <v>194</v>
      </c>
      <c r="H87" s="109">
        <f>LARGE(Open[[#This Row],[TS SH O 22.02.22]:[PR3]],2)</f>
        <v>0</v>
      </c>
      <c r="I87" s="109">
        <f>LARGE(Open[[#This Row],[TS SH O 22.02.22]:[PR3]],3)</f>
        <v>0</v>
      </c>
      <c r="J87" s="9">
        <f>RANK(K87,$K$7:$K$295,0)</f>
        <v>74</v>
      </c>
      <c r="K87" s="109">
        <f>SUM(L87:W87)</f>
        <v>194</v>
      </c>
      <c r="L87" s="109">
        <f>IFERROR(VLOOKUP(Open[[#This Row],[TS SH 22.02.22 Rang]],$AJ$16:$AK$111,2,0)*L$5," ")</f>
        <v>194</v>
      </c>
      <c r="M87" s="109" t="str">
        <f>IFERROR(VLOOKUP(Open[[#This Row],[TS SH O 23.04.22 Rang]],$AJ$16:$AK$111,2,0)*M$5," ")</f>
        <v xml:space="preserve"> </v>
      </c>
      <c r="N87" s="109" t="str">
        <f>IFERROR(VLOOKUP(Open[[#This Row],[TS LA O 08.05.22 Rang]],$AJ$16:$AK$111,2,0)*N$5," ")</f>
        <v xml:space="preserve"> </v>
      </c>
      <c r="O87" s="109" t="str">
        <f>IFERROR(VLOOKUP(Open[[#This Row],[TS SG O 25.05.22 Rang]],$AJ$16:$AK$111,2,0)*O$5," ")</f>
        <v xml:space="preserve"> </v>
      </c>
      <c r="P87" s="109" t="str">
        <f>IFERROR(VLOOKUP(Open[[#This Row],[TS SH O 25.06.22 Rang]],$AJ$16:$AK$111,2,0)*P$5," ")</f>
        <v xml:space="preserve"> </v>
      </c>
      <c r="Q87" s="109" t="str">
        <f>IFERROR(VLOOKUP(Open[[#This Row],[TS ZH O/A 25.06.22 Rang]],$AJ$16:$AK$111,2,0)*Q$5," ")</f>
        <v xml:space="preserve"> </v>
      </c>
      <c r="R87" s="109" t="str">
        <f>IFERROR(VLOOKUP(Open[[#This Row],[TS ZH O/B 25.06.22 Rang]],$AJ$16:$AK$111,2,0)*R$5," ")</f>
        <v xml:space="preserve"> </v>
      </c>
      <c r="S87" s="109" t="str">
        <f>IFERROR(VLOOKUP(Open[[#This Row],[SM BE O/A 09.07.22 Rang]],$AJ$16:$AK$111,2,0)*S$5," ")</f>
        <v xml:space="preserve"> </v>
      </c>
      <c r="T87" s="109" t="str">
        <f>IFERROR(VLOOKUP(Open[[#This Row],[SM BE O/B 09.07.22 Rang]],$AJ$16:$AK$111,2,0)*T$5," ")</f>
        <v xml:space="preserve"> </v>
      </c>
      <c r="U87" s="11">
        <v>0</v>
      </c>
      <c r="V87" s="11">
        <v>0</v>
      </c>
      <c r="W87" s="11">
        <v>0</v>
      </c>
      <c r="X87" s="129">
        <v>14</v>
      </c>
      <c r="Y87" s="191"/>
      <c r="Z87" s="191"/>
      <c r="AA87" s="191"/>
      <c r="AB87" s="191"/>
      <c r="AC87" s="191"/>
      <c r="AD87" s="191"/>
      <c r="AE87" s="191"/>
      <c r="AF87" s="191"/>
      <c r="AG87" s="17"/>
      <c r="AH87" s="17"/>
      <c r="AI87" s="17"/>
      <c r="AJ87" s="155">
        <v>71</v>
      </c>
      <c r="AK87" s="155">
        <v>10</v>
      </c>
      <c r="AL87" s="17"/>
      <c r="AM87" s="17"/>
      <c r="AN87" s="17"/>
      <c r="AO87" s="17"/>
      <c r="AP87" s="17"/>
      <c r="AQ87" s="17"/>
      <c r="AR87" s="17"/>
      <c r="BB87" s="4"/>
      <c r="BC87" s="4"/>
      <c r="BD87" s="4"/>
      <c r="BE87" s="4"/>
      <c r="BF87" s="4"/>
      <c r="BG87" s="4"/>
      <c r="BH87" s="4"/>
      <c r="BI87" s="4"/>
    </row>
    <row r="88" spans="1:61" x14ac:dyDescent="0.2">
      <c r="A88" s="11">
        <v>66</v>
      </c>
      <c r="B88" s="11">
        <f>IF(Open[[#This Row],[PR Rang beim letzten Turnier]]&gt;Open[[#This Row],[PR Rang]],1,IF(Open[[#This Row],[PR Rang beim letzten Turnier]]=Open[[#This Row],[PR Rang]],0,-1))</f>
        <v>-1</v>
      </c>
      <c r="C88" s="147">
        <f>RANK(Open[[#This Row],[PR Punkte]],Open[PR Punkte],0)</f>
        <v>74</v>
      </c>
      <c r="D88" s="9" t="s">
        <v>422</v>
      </c>
      <c r="E88" s="9" t="s">
        <v>18</v>
      </c>
      <c r="F88" s="109">
        <f>SUM(Open[[#This Row],[PR 1]:[PR 3]])</f>
        <v>194</v>
      </c>
      <c r="G88" s="109">
        <f>LARGE(Open[[#This Row],[TS SH O 22.02.22]:[PR3]],1)</f>
        <v>194</v>
      </c>
      <c r="H88" s="109">
        <f>LARGE(Open[[#This Row],[TS SH O 22.02.22]:[PR3]],2)</f>
        <v>0</v>
      </c>
      <c r="I88" s="109">
        <f>LARGE(Open[[#This Row],[TS SH O 22.02.22]:[PR3]],3)</f>
        <v>0</v>
      </c>
      <c r="J88" s="9">
        <f>RANK(K88,$K$7:$K$295,0)</f>
        <v>74</v>
      </c>
      <c r="K88" s="109">
        <f>SUM(L88:W88)</f>
        <v>194</v>
      </c>
      <c r="L88" s="109">
        <f>IFERROR(VLOOKUP(Open[[#This Row],[TS SH 22.02.22 Rang]],$AJ$16:$AK$111,2,0)*L$5," ")</f>
        <v>194</v>
      </c>
      <c r="M88" s="109" t="str">
        <f>IFERROR(VLOOKUP(Open[[#This Row],[TS SH O 23.04.22 Rang]],$AJ$16:$AK$111,2,0)*M$5," ")</f>
        <v xml:space="preserve"> </v>
      </c>
      <c r="N88" s="109" t="str">
        <f>IFERROR(VLOOKUP(Open[[#This Row],[TS LA O 08.05.22 Rang]],$AJ$16:$AK$111,2,0)*N$5," ")</f>
        <v xml:space="preserve"> </v>
      </c>
      <c r="O88" s="109" t="str">
        <f>IFERROR(VLOOKUP(Open[[#This Row],[TS SG O 25.05.22 Rang]],$AJ$16:$AK$111,2,0)*O$5," ")</f>
        <v xml:space="preserve"> </v>
      </c>
      <c r="P88" s="109" t="str">
        <f>IFERROR(VLOOKUP(Open[[#This Row],[TS SH O 25.06.22 Rang]],$AJ$16:$AK$111,2,0)*P$5," ")</f>
        <v xml:space="preserve"> </v>
      </c>
      <c r="Q88" s="109" t="str">
        <f>IFERROR(VLOOKUP(Open[[#This Row],[TS ZH O/A 25.06.22 Rang]],$AJ$16:$AK$111,2,0)*Q$5," ")</f>
        <v xml:space="preserve"> </v>
      </c>
      <c r="R88" s="109" t="str">
        <f>IFERROR(VLOOKUP(Open[[#This Row],[TS ZH O/B 25.06.22 Rang]],$AJ$16:$AK$111,2,0)*R$5," ")</f>
        <v xml:space="preserve"> </v>
      </c>
      <c r="S88" s="109" t="str">
        <f>IFERROR(VLOOKUP(Open[[#This Row],[SM BE O/A 09.07.22 Rang]],$AJ$16:$AK$111,2,0)*S$5," ")</f>
        <v xml:space="preserve"> </v>
      </c>
      <c r="T88" s="109" t="str">
        <f>IFERROR(VLOOKUP(Open[[#This Row],[SM BE O/B 09.07.22 Rang]],$AJ$16:$AK$111,2,0)*T$5," ")</f>
        <v xml:space="preserve"> </v>
      </c>
      <c r="U88" s="11">
        <v>0</v>
      </c>
      <c r="V88" s="11">
        <v>0</v>
      </c>
      <c r="W88" s="11">
        <v>0</v>
      </c>
      <c r="X88" s="129">
        <v>16</v>
      </c>
      <c r="Y88" s="191"/>
      <c r="Z88" s="191"/>
      <c r="AA88" s="191"/>
      <c r="AB88" s="191"/>
      <c r="AC88" s="191"/>
      <c r="AD88" s="191"/>
      <c r="AE88" s="191"/>
      <c r="AF88" s="191"/>
      <c r="AG88" s="161"/>
      <c r="AH88" s="161"/>
      <c r="AI88" s="161"/>
      <c r="AJ88" s="163">
        <v>72</v>
      </c>
      <c r="AK88" s="163">
        <v>10</v>
      </c>
      <c r="AL88" s="161"/>
      <c r="AM88" s="17"/>
      <c r="AN88" s="17"/>
      <c r="AO88" s="17"/>
      <c r="AP88" s="17"/>
      <c r="AQ88" s="17"/>
      <c r="AR88" s="17"/>
      <c r="BB88" s="4"/>
      <c r="BC88" s="4"/>
      <c r="BD88" s="4"/>
      <c r="BE88" s="4"/>
      <c r="BF88" s="4"/>
      <c r="BG88" s="4"/>
      <c r="BH88" s="4"/>
      <c r="BI88" s="4"/>
    </row>
    <row r="89" spans="1:61" x14ac:dyDescent="0.2">
      <c r="A89" s="11">
        <v>76</v>
      </c>
      <c r="B89" s="11">
        <f>IF(Open[[#This Row],[PR Rang beim letzten Turnier]]&gt;Open[[#This Row],[PR Rang]],1,IF(Open[[#This Row],[PR Rang beim letzten Turnier]]=Open[[#This Row],[PR Rang]],0,-1))</f>
        <v>-1</v>
      </c>
      <c r="C89" s="147">
        <f>RANK(Open[[#This Row],[PR Punkte]],Open[PR Punkte],0)</f>
        <v>83</v>
      </c>
      <c r="D89" s="9" t="s">
        <v>210</v>
      </c>
      <c r="E89" s="9" t="s">
        <v>11</v>
      </c>
      <c r="F89" s="109">
        <f>SUM(Open[[#This Row],[PR 1]:[PR 3]])</f>
        <v>189.4</v>
      </c>
      <c r="G89" s="109">
        <f>LARGE(Open[[#This Row],[TS SH O 22.02.22]:[PR3]],1)</f>
        <v>142</v>
      </c>
      <c r="H89" s="109">
        <f>LARGE(Open[[#This Row],[TS SH O 22.02.22]:[PR3]],2)</f>
        <v>47.400000000000006</v>
      </c>
      <c r="I89" s="109">
        <f>LARGE(Open[[#This Row],[TS SH O 22.02.22]:[PR3]],3)</f>
        <v>0</v>
      </c>
      <c r="J89" s="9">
        <f>RANK(K89,$K$7:$K$295,0)</f>
        <v>83</v>
      </c>
      <c r="K89" s="109">
        <f>SUM(L89:W89)</f>
        <v>189.4</v>
      </c>
      <c r="L89" s="109" t="str">
        <f>IFERROR(VLOOKUP(Open[[#This Row],[TS SH 22.02.22 Rang]],$AJ$16:$AK$111,2,0)*L$5," ")</f>
        <v xml:space="preserve"> </v>
      </c>
      <c r="M89" s="109" t="str">
        <f>IFERROR(VLOOKUP(Open[[#This Row],[TS SH O 23.04.22 Rang]],$AJ$16:$AK$111,2,0)*M$5," ")</f>
        <v xml:space="preserve"> </v>
      </c>
      <c r="N89" s="109">
        <f>IFERROR(VLOOKUP(Open[[#This Row],[TS LA O 08.05.22 Rang]],$AJ$16:$AK$111,2,0)*N$5," ")</f>
        <v>47.400000000000006</v>
      </c>
      <c r="O89" s="109" t="str">
        <f>IFERROR(VLOOKUP(Open[[#This Row],[TS SG O 25.05.22 Rang]],$AJ$16:$AK$111,2,0)*O$5," ")</f>
        <v xml:space="preserve"> </v>
      </c>
      <c r="P89" s="109" t="str">
        <f>IFERROR(VLOOKUP(Open[[#This Row],[TS SH O 25.06.22 Rang]],$AJ$16:$AK$111,2,0)*P$5," ")</f>
        <v xml:space="preserve"> </v>
      </c>
      <c r="Q89" s="109">
        <f>IFERROR(VLOOKUP(Open[[#This Row],[TS ZH O/A 25.06.22 Rang]],$AJ$16:$AK$111,2,0)*Q$5," ")</f>
        <v>142</v>
      </c>
      <c r="R89" s="109" t="str">
        <f>IFERROR(VLOOKUP(Open[[#This Row],[TS ZH O/B 25.06.22 Rang]],$AJ$16:$AK$111,2,0)*R$5," ")</f>
        <v xml:space="preserve"> </v>
      </c>
      <c r="S89" s="109" t="str">
        <f>IFERROR(VLOOKUP(Open[[#This Row],[SM BE O/A 09.07.22 Rang]],$AJ$16:$AK$111,2,0)*S$5," ")</f>
        <v xml:space="preserve"> </v>
      </c>
      <c r="T89" s="109" t="str">
        <f>IFERROR(VLOOKUP(Open[[#This Row],[SM BE O/B 09.07.22 Rang]],$AJ$16:$AK$111,2,0)*T$5," ")</f>
        <v xml:space="preserve"> </v>
      </c>
      <c r="U89" s="11">
        <v>0</v>
      </c>
      <c r="V89" s="11">
        <v>0</v>
      </c>
      <c r="W89" s="11">
        <v>0</v>
      </c>
      <c r="X89" s="129"/>
      <c r="Y89" s="191"/>
      <c r="Z89" s="191">
        <v>17</v>
      </c>
      <c r="AA89" s="191"/>
      <c r="AB89" s="191"/>
      <c r="AC89" s="191">
        <v>16</v>
      </c>
      <c r="AD89" s="191"/>
      <c r="AE89" s="191"/>
      <c r="AF89" s="191"/>
      <c r="AG89" s="17"/>
      <c r="AH89" s="17"/>
      <c r="AI89" s="17"/>
      <c r="AJ89" s="155">
        <v>73</v>
      </c>
      <c r="AK89" s="155">
        <v>10</v>
      </c>
      <c r="AL89" s="17"/>
      <c r="AM89" s="17"/>
      <c r="AN89" s="17"/>
      <c r="AO89" s="17"/>
      <c r="AP89" s="17"/>
      <c r="AQ89" s="17"/>
      <c r="AR89" s="17"/>
      <c r="BB89" s="4"/>
      <c r="BC89" s="4"/>
      <c r="BD89" s="4"/>
      <c r="BE89" s="4"/>
      <c r="BF89" s="4"/>
      <c r="BG89" s="4"/>
      <c r="BH89" s="4"/>
      <c r="BI89" s="4"/>
    </row>
    <row r="90" spans="1:61" x14ac:dyDescent="0.2">
      <c r="A90" s="11">
        <v>77</v>
      </c>
      <c r="B90" s="11">
        <f>IF(Open[[#This Row],[PR Rang beim letzten Turnier]]&gt;Open[[#This Row],[PR Rang]],1,IF(Open[[#This Row],[PR Rang beim letzten Turnier]]=Open[[#This Row],[PR Rang]],0,-1))</f>
        <v>-1</v>
      </c>
      <c r="C90" s="147">
        <f>RANK(Open[[#This Row],[PR Punkte]],Open[PR Punkte],0)</f>
        <v>84</v>
      </c>
      <c r="D90" s="25" t="s">
        <v>314</v>
      </c>
      <c r="E90" s="17" t="s">
        <v>13</v>
      </c>
      <c r="F90" s="109">
        <f>SUM(Open[[#This Row],[PR 1]:[PR 3]])</f>
        <v>186.4</v>
      </c>
      <c r="G90" s="109">
        <f>LARGE(Open[[#This Row],[TS SH O 22.02.22]:[PR3]],1)</f>
        <v>142</v>
      </c>
      <c r="H90" s="109">
        <f>LARGE(Open[[#This Row],[TS SH O 22.02.22]:[PR3]],2)</f>
        <v>44.4</v>
      </c>
      <c r="I90" s="109">
        <f>LARGE(Open[[#This Row],[TS SH O 22.02.22]:[PR3]],3)</f>
        <v>0</v>
      </c>
      <c r="J90" s="160">
        <f>RANK(K90,$K$7:$K$295,0)</f>
        <v>84</v>
      </c>
      <c r="K90" s="109">
        <f>SUM(L90:W90)</f>
        <v>186.4</v>
      </c>
      <c r="L90" s="109" t="str">
        <f>IFERROR(VLOOKUP(Open[[#This Row],[TS SH 22.02.22 Rang]],$AJ$16:$AK$111,2,0)*L$5," ")</f>
        <v xml:space="preserve"> </v>
      </c>
      <c r="M90" s="109" t="str">
        <f>IFERROR(VLOOKUP(Open[[#This Row],[TS SH O 23.04.22 Rang]],$AJ$16:$AK$111,2,0)*M$5," ")</f>
        <v xml:space="preserve"> </v>
      </c>
      <c r="N90" s="109" t="str">
        <f>IFERROR(VLOOKUP(Open[[#This Row],[TS LA O 08.05.22 Rang]],$AJ$16:$AK$111,2,0)*N$5," ")</f>
        <v xml:space="preserve"> </v>
      </c>
      <c r="O90" s="109" t="str">
        <f>IFERROR(VLOOKUP(Open[[#This Row],[TS SG O 25.05.22 Rang]],$AJ$16:$AK$111,2,0)*O$5," ")</f>
        <v xml:space="preserve"> </v>
      </c>
      <c r="P90" s="109">
        <f>IFERROR(VLOOKUP(Open[[#This Row],[TS SH O 25.06.22 Rang]],$AJ$16:$AK$111,2,0)*P$5," ")</f>
        <v>44.4</v>
      </c>
      <c r="Q90" s="109">
        <f>IFERROR(VLOOKUP(Open[[#This Row],[TS ZH O/A 25.06.22 Rang]],$AJ$16:$AK$111,2,0)*Q$5," ")</f>
        <v>142</v>
      </c>
      <c r="R90" s="109" t="str">
        <f>IFERROR(VLOOKUP(Open[[#This Row],[TS ZH O/B 25.06.22 Rang]],$AJ$16:$AK$111,2,0)*R$5," ")</f>
        <v xml:space="preserve"> </v>
      </c>
      <c r="S90" s="109" t="str">
        <f>IFERROR(VLOOKUP(Open[[#This Row],[SM BE O/A 09.07.22 Rang]],$AJ$16:$AK$111,2,0)*S$5," ")</f>
        <v xml:space="preserve"> </v>
      </c>
      <c r="T90" s="109" t="str">
        <f>IFERROR(VLOOKUP(Open[[#This Row],[SM BE O/B 09.07.22 Rang]],$AJ$16:$AK$111,2,0)*T$5," ")</f>
        <v xml:space="preserve"> </v>
      </c>
      <c r="U90" s="11">
        <v>0</v>
      </c>
      <c r="V90" s="11">
        <v>0</v>
      </c>
      <c r="W90" s="11">
        <v>0</v>
      </c>
      <c r="X90" s="129"/>
      <c r="Y90" s="191"/>
      <c r="Z90" s="191"/>
      <c r="AA90" s="191"/>
      <c r="AB90" s="191">
        <v>20</v>
      </c>
      <c r="AC90" s="191">
        <v>15</v>
      </c>
      <c r="AD90" s="191"/>
      <c r="AE90" s="191"/>
      <c r="AF90" s="191"/>
      <c r="AG90" s="17"/>
      <c r="AH90" s="17"/>
      <c r="AI90" s="17"/>
      <c r="AJ90" s="155">
        <v>74</v>
      </c>
      <c r="AK90" s="155">
        <v>10</v>
      </c>
      <c r="AL90" s="17"/>
      <c r="AM90" s="17"/>
      <c r="AN90" s="17"/>
      <c r="AO90" s="17"/>
      <c r="AP90" s="17"/>
      <c r="AQ90" s="17"/>
      <c r="AR90" s="17"/>
      <c r="BB90" s="4"/>
      <c r="BC90" s="4"/>
      <c r="BD90" s="4"/>
      <c r="BE90" s="4"/>
      <c r="BF90" s="4"/>
      <c r="BG90" s="4"/>
      <c r="BH90" s="4"/>
      <c r="BI90" s="4"/>
    </row>
    <row r="91" spans="1:61" x14ac:dyDescent="0.2">
      <c r="A91" s="11">
        <v>110</v>
      </c>
      <c r="B91" s="11">
        <f>IF(Open[[#This Row],[PR Rang beim letzten Turnier]]&gt;Open[[#This Row],[PR Rang]],1,IF(Open[[#This Row],[PR Rang beim letzten Turnier]]=Open[[#This Row],[PR Rang]],0,-1))</f>
        <v>1</v>
      </c>
      <c r="C91" s="147">
        <f>RANK(Open[[#This Row],[PR Punkte]],Open[PR Punkte],0)</f>
        <v>85</v>
      </c>
      <c r="D91" s="25" t="s">
        <v>253</v>
      </c>
      <c r="E91" s="31" t="s">
        <v>10</v>
      </c>
      <c r="F91" s="109">
        <f>SUM(Open[[#This Row],[PR 1]:[PR 3]])</f>
        <v>163.19999999999999</v>
      </c>
      <c r="G91" s="109">
        <f>LARGE(Open[[#This Row],[TS SH O 22.02.22]:[PR3]],1)</f>
        <v>62.400000000000006</v>
      </c>
      <c r="H91" s="109">
        <f>LARGE(Open[[#This Row],[TS SH O 22.02.22]:[PR3]],2)</f>
        <v>58.199999999999996</v>
      </c>
      <c r="I91" s="109">
        <f>LARGE(Open[[#This Row],[TS SH O 22.02.22]:[PR3]],3)</f>
        <v>42.599999999999994</v>
      </c>
      <c r="J91" s="31">
        <f>RANK(K91,$K$7:$K$295,0)</f>
        <v>85</v>
      </c>
      <c r="K91" s="109">
        <f>SUM(L91:W91)</f>
        <v>163.19999999999999</v>
      </c>
      <c r="L91" s="109">
        <f>IFERROR(VLOOKUP(Open[[#This Row],[TS SH 22.02.22 Rang]],$AJ$16:$AK$111,2,0)*L$5," ")</f>
        <v>58.199999999999996</v>
      </c>
      <c r="M91" s="109" t="str">
        <f>IFERROR(VLOOKUP(Open[[#This Row],[TS SH O 23.04.22 Rang]],$AJ$16:$AK$111,2,0)*M$5," ")</f>
        <v xml:space="preserve"> </v>
      </c>
      <c r="N91" s="109" t="str">
        <f>IFERROR(VLOOKUP(Open[[#This Row],[TS LA O 08.05.22 Rang]],$AJ$16:$AK$111,2,0)*N$5," ")</f>
        <v xml:space="preserve"> </v>
      </c>
      <c r="O91" s="109" t="str">
        <f>IFERROR(VLOOKUP(Open[[#This Row],[TS SG O 25.05.22 Rang]],$AJ$16:$AK$111,2,0)*O$5," ")</f>
        <v xml:space="preserve"> </v>
      </c>
      <c r="P91" s="109" t="str">
        <f>IFERROR(VLOOKUP(Open[[#This Row],[TS SH O 25.06.22 Rang]],$AJ$16:$AK$111,2,0)*P$5," ")</f>
        <v xml:space="preserve"> </v>
      </c>
      <c r="Q91" s="109">
        <f>IFERROR(VLOOKUP(Open[[#This Row],[TS ZH O/A 25.06.22 Rang]],$AJ$16:$AK$111,2,0)*Q$5," ")</f>
        <v>42.599999999999994</v>
      </c>
      <c r="R91" s="109" t="str">
        <f>IFERROR(VLOOKUP(Open[[#This Row],[TS ZH O/B 25.06.22 Rang]],$AJ$16:$AK$111,2,0)*R$5," ")</f>
        <v xml:space="preserve"> </v>
      </c>
      <c r="S91" s="109">
        <f>IFERROR(VLOOKUP(Open[[#This Row],[SM BE O/A 09.07.22 Rang]],$AJ$16:$AK$111,2,0)*S$5," ")</f>
        <v>62.400000000000006</v>
      </c>
      <c r="T91" s="109" t="str">
        <f>IFERROR(VLOOKUP(Open[[#This Row],[SM BE O/B 09.07.22 Rang]],$AJ$16:$AK$111,2,0)*T$5," ")</f>
        <v xml:space="preserve"> </v>
      </c>
      <c r="U91" s="11">
        <v>0</v>
      </c>
      <c r="V91" s="11">
        <v>0</v>
      </c>
      <c r="W91" s="11">
        <v>0</v>
      </c>
      <c r="X91" s="129">
        <v>21</v>
      </c>
      <c r="Y91" s="191"/>
      <c r="Z91" s="191"/>
      <c r="AA91" s="191"/>
      <c r="AB91" s="191"/>
      <c r="AC91" s="191">
        <v>19</v>
      </c>
      <c r="AD91" s="191"/>
      <c r="AE91" s="191">
        <v>29</v>
      </c>
      <c r="AF91" s="191"/>
      <c r="AG91" s="17"/>
      <c r="AH91" s="17"/>
      <c r="AI91" s="17"/>
      <c r="AJ91" s="155">
        <v>75</v>
      </c>
      <c r="AK91" s="155">
        <v>10</v>
      </c>
      <c r="AL91" s="17"/>
      <c r="AM91" s="17"/>
      <c r="AN91" s="17"/>
      <c r="AO91" s="17"/>
      <c r="AP91" s="17"/>
      <c r="AQ91" s="17"/>
      <c r="AR91" s="17"/>
      <c r="BB91" s="4"/>
      <c r="BC91" s="4"/>
      <c r="BD91" s="4"/>
      <c r="BE91" s="4"/>
      <c r="BF91" s="4"/>
      <c r="BG91" s="4"/>
      <c r="BH91" s="4"/>
      <c r="BI91" s="4"/>
    </row>
    <row r="92" spans="1:61" x14ac:dyDescent="0.2">
      <c r="A92" s="11">
        <v>78</v>
      </c>
      <c r="B92" s="11">
        <f>IF(Open[[#This Row],[PR Rang beim letzten Turnier]]&gt;Open[[#This Row],[PR Rang]],1,IF(Open[[#This Row],[PR Rang beim letzten Turnier]]=Open[[#This Row],[PR Rang]],0,-1))</f>
        <v>-1</v>
      </c>
      <c r="C92" s="147">
        <f>RANK(Open[[#This Row],[PR Punkte]],Open[PR Punkte],0)</f>
        <v>86</v>
      </c>
      <c r="D92" s="9" t="s">
        <v>522</v>
      </c>
      <c r="E92" s="9" t="s">
        <v>11</v>
      </c>
      <c r="F92" s="109">
        <f>SUM(Open[[#This Row],[PR 1]:[PR 3]])</f>
        <v>158</v>
      </c>
      <c r="G92" s="109">
        <f>LARGE(Open[[#This Row],[TS SH O 22.02.22]:[PR3]],1)</f>
        <v>158</v>
      </c>
      <c r="H92" s="109">
        <f>LARGE(Open[[#This Row],[TS SH O 22.02.22]:[PR3]],2)</f>
        <v>0</v>
      </c>
      <c r="I92" s="109">
        <f>LARGE(Open[[#This Row],[TS SH O 22.02.22]:[PR3]],3)</f>
        <v>0</v>
      </c>
      <c r="J92" s="9">
        <f>RANK(K92,$K$7:$K$361,0)</f>
        <v>86</v>
      </c>
      <c r="K92" s="109">
        <f>SUM(L92:W92)</f>
        <v>158</v>
      </c>
      <c r="L92" s="109"/>
      <c r="M92" s="109" t="str">
        <f>IFERROR(VLOOKUP(Open[[#This Row],[TS SH O 23.04.22 Rang]],$AJ$16:$AK$111,2,0)*M$5," ")</f>
        <v xml:space="preserve"> </v>
      </c>
      <c r="N92" s="109">
        <f>IFERROR(VLOOKUP(Open[[#This Row],[TS LA O 08.05.22 Rang]],$AJ$16:$AK$111,2,0)*N$5," ")</f>
        <v>158</v>
      </c>
      <c r="O92" s="109" t="str">
        <f>IFERROR(VLOOKUP(Open[[#This Row],[TS SG O 25.05.22 Rang]],$AJ$16:$AK$111,2,0)*O$5," ")</f>
        <v xml:space="preserve"> </v>
      </c>
      <c r="P92" s="109" t="str">
        <f>IFERROR(VLOOKUP(Open[[#This Row],[TS SH O 25.06.22 Rang]],$AJ$16:$AK$111,2,0)*P$5," ")</f>
        <v xml:space="preserve"> </v>
      </c>
      <c r="Q92" s="109" t="str">
        <f>IFERROR(VLOOKUP(Open[[#This Row],[TS ZH O/A 25.06.22 Rang]],$AJ$16:$AK$111,2,0)*Q$5," ")</f>
        <v xml:space="preserve"> </v>
      </c>
      <c r="R92" s="109" t="str">
        <f>IFERROR(VLOOKUP(Open[[#This Row],[TS ZH O/B 25.06.22 Rang]],$AJ$16:$AK$111,2,0)*R$5," ")</f>
        <v xml:space="preserve"> </v>
      </c>
      <c r="S92" s="109" t="str">
        <f>IFERROR(VLOOKUP(Open[[#This Row],[SM BE O/A 09.07.22 Rang]],$AJ$16:$AK$111,2,0)*S$5," ")</f>
        <v xml:space="preserve"> </v>
      </c>
      <c r="T92" s="109" t="str">
        <f>IFERROR(VLOOKUP(Open[[#This Row],[SM BE O/B 09.07.22 Rang]],$AJ$16:$AK$111,2,0)*T$5," ")</f>
        <v xml:space="preserve"> </v>
      </c>
      <c r="U92" s="11">
        <v>0</v>
      </c>
      <c r="V92" s="11">
        <v>0</v>
      </c>
      <c r="W92" s="11">
        <v>0</v>
      </c>
      <c r="X92" s="129"/>
      <c r="Y92" s="191"/>
      <c r="Z92" s="191">
        <v>11</v>
      </c>
      <c r="AA92" s="191"/>
      <c r="AB92" s="191"/>
      <c r="AC92" s="191"/>
      <c r="AD92" s="191"/>
      <c r="AE92" s="191"/>
      <c r="AF92" s="191"/>
      <c r="AG92" s="17"/>
      <c r="AH92" s="17"/>
      <c r="AI92" s="17"/>
      <c r="AJ92" s="155">
        <v>76</v>
      </c>
      <c r="AK92" s="155">
        <v>10</v>
      </c>
      <c r="AL92" s="17"/>
      <c r="AM92" s="17"/>
      <c r="AN92" s="17"/>
      <c r="AO92" s="17"/>
      <c r="AP92" s="17"/>
      <c r="AQ92" s="17"/>
      <c r="AR92" s="17"/>
      <c r="BB92" s="4"/>
      <c r="BC92" s="4"/>
      <c r="BD92" s="4"/>
      <c r="BE92" s="4"/>
      <c r="BF92" s="4"/>
      <c r="BG92" s="4"/>
      <c r="BH92" s="4"/>
      <c r="BI92" s="4"/>
    </row>
    <row r="93" spans="1:61" x14ac:dyDescent="0.2">
      <c r="A93" s="11">
        <v>78</v>
      </c>
      <c r="B93" s="11">
        <f>IF(Open[[#This Row],[PR Rang beim letzten Turnier]]&gt;Open[[#This Row],[PR Rang]],1,IF(Open[[#This Row],[PR Rang beim letzten Turnier]]=Open[[#This Row],[PR Rang]],0,-1))</f>
        <v>-1</v>
      </c>
      <c r="C93" s="147">
        <f>RANK(Open[[#This Row],[PR Punkte]],Open[PR Punkte],0)</f>
        <v>86</v>
      </c>
      <c r="D93" s="9" t="s">
        <v>524</v>
      </c>
      <c r="E93" s="9" t="s">
        <v>11</v>
      </c>
      <c r="F93" s="109">
        <f>SUM(Open[[#This Row],[PR 1]:[PR 3]])</f>
        <v>158</v>
      </c>
      <c r="G93" s="109">
        <f>LARGE(Open[[#This Row],[TS SH O 22.02.22]:[PR3]],1)</f>
        <v>158</v>
      </c>
      <c r="H93" s="109">
        <f>LARGE(Open[[#This Row],[TS SH O 22.02.22]:[PR3]],2)</f>
        <v>0</v>
      </c>
      <c r="I93" s="109">
        <f>LARGE(Open[[#This Row],[TS SH O 22.02.22]:[PR3]],3)</f>
        <v>0</v>
      </c>
      <c r="J93" s="9">
        <f>RANK(K93,$K$7:$K$361,0)</f>
        <v>86</v>
      </c>
      <c r="K93" s="109">
        <f>SUM(L93:W93)</f>
        <v>158</v>
      </c>
      <c r="L93" s="109"/>
      <c r="M93" s="109" t="str">
        <f>IFERROR(VLOOKUP(Open[[#This Row],[TS SH O 23.04.22 Rang]],$AJ$16:$AK$111,2,0)*M$5," ")</f>
        <v xml:space="preserve"> </v>
      </c>
      <c r="N93" s="109">
        <f>IFERROR(VLOOKUP(Open[[#This Row],[TS LA O 08.05.22 Rang]],$AJ$16:$AK$111,2,0)*N$5," ")</f>
        <v>158</v>
      </c>
      <c r="O93" s="109" t="str">
        <f>IFERROR(VLOOKUP(Open[[#This Row],[TS SG O 25.05.22 Rang]],$AJ$16:$AK$111,2,0)*O$5," ")</f>
        <v xml:space="preserve"> </v>
      </c>
      <c r="P93" s="109" t="str">
        <f>IFERROR(VLOOKUP(Open[[#This Row],[TS SH O 25.06.22 Rang]],$AJ$16:$AK$111,2,0)*P$5," ")</f>
        <v xml:space="preserve"> </v>
      </c>
      <c r="Q93" s="109" t="str">
        <f>IFERROR(VLOOKUP(Open[[#This Row],[TS ZH O/A 25.06.22 Rang]],$AJ$16:$AK$111,2,0)*Q$5," ")</f>
        <v xml:space="preserve"> </v>
      </c>
      <c r="R93" s="109" t="str">
        <f>IFERROR(VLOOKUP(Open[[#This Row],[TS ZH O/B 25.06.22 Rang]],$AJ$16:$AK$111,2,0)*R$5," ")</f>
        <v xml:space="preserve"> </v>
      </c>
      <c r="S93" s="109" t="str">
        <f>IFERROR(VLOOKUP(Open[[#This Row],[SM BE O/A 09.07.22 Rang]],$AJ$16:$AK$111,2,0)*S$5," ")</f>
        <v xml:space="preserve"> </v>
      </c>
      <c r="T93" s="109" t="str">
        <f>IFERROR(VLOOKUP(Open[[#This Row],[SM BE O/B 09.07.22 Rang]],$AJ$16:$AK$111,2,0)*T$5," ")</f>
        <v xml:space="preserve"> </v>
      </c>
      <c r="U93" s="11">
        <v>0</v>
      </c>
      <c r="V93" s="11">
        <v>0</v>
      </c>
      <c r="W93" s="11">
        <v>0</v>
      </c>
      <c r="X93" s="129"/>
      <c r="Y93" s="191"/>
      <c r="Z93" s="191">
        <v>11</v>
      </c>
      <c r="AA93" s="191"/>
      <c r="AB93" s="191"/>
      <c r="AC93" s="191"/>
      <c r="AD93" s="191"/>
      <c r="AE93" s="191"/>
      <c r="AF93" s="191"/>
      <c r="AG93" s="17"/>
      <c r="AH93" s="17"/>
      <c r="AI93" s="17"/>
      <c r="AJ93" s="155">
        <v>77</v>
      </c>
      <c r="AK93" s="155">
        <v>10</v>
      </c>
      <c r="AL93" s="17"/>
      <c r="AM93" s="17"/>
      <c r="AN93" s="17"/>
      <c r="AO93" s="17"/>
      <c r="AP93" s="17"/>
      <c r="AQ93" s="17"/>
      <c r="AR93" s="17"/>
      <c r="BB93" s="4"/>
      <c r="BC93" s="4"/>
      <c r="BD93" s="4"/>
      <c r="BE93" s="4"/>
      <c r="BF93" s="4"/>
      <c r="BG93" s="4"/>
      <c r="BH93" s="4"/>
      <c r="BI93" s="4"/>
    </row>
    <row r="94" spans="1:61" x14ac:dyDescent="0.2">
      <c r="A94" s="11">
        <v>78</v>
      </c>
      <c r="B94" s="11">
        <f>IF(Open[[#This Row],[PR Rang beim letzten Turnier]]&gt;Open[[#This Row],[PR Rang]],1,IF(Open[[#This Row],[PR Rang beim letzten Turnier]]=Open[[#This Row],[PR Rang]],0,-1))</f>
        <v>-1</v>
      </c>
      <c r="C94" s="147">
        <f>RANK(Open[[#This Row],[PR Punkte]],Open[PR Punkte],0)</f>
        <v>86</v>
      </c>
      <c r="D94" s="9" t="s">
        <v>520</v>
      </c>
      <c r="E94" s="9" t="s">
        <v>18</v>
      </c>
      <c r="F94" s="109">
        <f>SUM(Open[[#This Row],[PR 1]:[PR 3]])</f>
        <v>158</v>
      </c>
      <c r="G94" s="109">
        <f>LARGE(Open[[#This Row],[TS SH O 22.02.22]:[PR3]],1)</f>
        <v>158</v>
      </c>
      <c r="H94" s="109">
        <f>LARGE(Open[[#This Row],[TS SH O 22.02.22]:[PR3]],2)</f>
        <v>0</v>
      </c>
      <c r="I94" s="109">
        <f>LARGE(Open[[#This Row],[TS SH O 22.02.22]:[PR3]],3)</f>
        <v>0</v>
      </c>
      <c r="J94" s="9">
        <f>RANK(K94,$K$7:$K$361,0)</f>
        <v>86</v>
      </c>
      <c r="K94" s="109">
        <f>SUM(L94:W94)</f>
        <v>158</v>
      </c>
      <c r="L94" s="109"/>
      <c r="M94" s="109" t="str">
        <f>IFERROR(VLOOKUP(Open[[#This Row],[TS SH O 23.04.22 Rang]],$AJ$16:$AK$111,2,0)*M$5," ")</f>
        <v xml:space="preserve"> </v>
      </c>
      <c r="N94" s="109">
        <f>IFERROR(VLOOKUP(Open[[#This Row],[TS LA O 08.05.22 Rang]],$AJ$16:$AK$111,2,0)*N$5," ")</f>
        <v>158</v>
      </c>
      <c r="O94" s="109" t="str">
        <f>IFERROR(VLOOKUP(Open[[#This Row],[TS SG O 25.05.22 Rang]],$AJ$16:$AK$111,2,0)*O$5," ")</f>
        <v xml:space="preserve"> </v>
      </c>
      <c r="P94" s="109" t="str">
        <f>IFERROR(VLOOKUP(Open[[#This Row],[TS SH O 25.06.22 Rang]],$AJ$16:$AK$111,2,0)*P$5," ")</f>
        <v xml:space="preserve"> </v>
      </c>
      <c r="Q94" s="109" t="str">
        <f>IFERROR(VLOOKUP(Open[[#This Row],[TS ZH O/A 25.06.22 Rang]],$AJ$16:$AK$111,2,0)*Q$5," ")</f>
        <v xml:space="preserve"> </v>
      </c>
      <c r="R94" s="109" t="str">
        <f>IFERROR(VLOOKUP(Open[[#This Row],[TS ZH O/B 25.06.22 Rang]],$AJ$16:$AK$111,2,0)*R$5," ")</f>
        <v xml:space="preserve"> </v>
      </c>
      <c r="S94" s="109" t="str">
        <f>IFERROR(VLOOKUP(Open[[#This Row],[SM BE O/A 09.07.22 Rang]],$AJ$16:$AK$111,2,0)*S$5," ")</f>
        <v xml:space="preserve"> </v>
      </c>
      <c r="T94" s="109" t="str">
        <f>IFERROR(VLOOKUP(Open[[#This Row],[SM BE O/B 09.07.22 Rang]],$AJ$16:$AK$111,2,0)*T$5," ")</f>
        <v xml:space="preserve"> </v>
      </c>
      <c r="U94" s="11">
        <v>0</v>
      </c>
      <c r="V94" s="11">
        <v>0</v>
      </c>
      <c r="W94" s="11">
        <v>0</v>
      </c>
      <c r="X94" s="129"/>
      <c r="Y94" s="191"/>
      <c r="Z94" s="191">
        <v>9</v>
      </c>
      <c r="AA94" s="191"/>
      <c r="AB94" s="191"/>
      <c r="AC94" s="191"/>
      <c r="AD94" s="191"/>
      <c r="AE94" s="191"/>
      <c r="AF94" s="191"/>
      <c r="AG94" s="17"/>
      <c r="AH94" s="17"/>
      <c r="AI94" s="17"/>
      <c r="AJ94" s="155">
        <v>78</v>
      </c>
      <c r="AK94" s="155">
        <v>10</v>
      </c>
      <c r="AL94" s="17"/>
      <c r="AM94" s="17"/>
      <c r="AN94" s="17"/>
      <c r="AO94" s="17"/>
      <c r="AP94" s="17"/>
      <c r="AQ94" s="17"/>
      <c r="AR94" s="17"/>
      <c r="BB94" s="4"/>
      <c r="BC94" s="4"/>
      <c r="BD94" s="4"/>
      <c r="BE94" s="4"/>
      <c r="BF94" s="4"/>
      <c r="BG94" s="4"/>
      <c r="BH94" s="4"/>
      <c r="BI94" s="4"/>
    </row>
    <row r="95" spans="1:61" x14ac:dyDescent="0.2">
      <c r="A95" s="11">
        <v>78</v>
      </c>
      <c r="B95" s="11">
        <f>IF(Open[[#This Row],[PR Rang beim letzten Turnier]]&gt;Open[[#This Row],[PR Rang]],1,IF(Open[[#This Row],[PR Rang beim letzten Turnier]]=Open[[#This Row],[PR Rang]],0,-1))</f>
        <v>-1</v>
      </c>
      <c r="C95" s="147">
        <f>RANK(Open[[#This Row],[PR Punkte]],Open[PR Punkte],0)</f>
        <v>86</v>
      </c>
      <c r="D95" s="9" t="s">
        <v>526</v>
      </c>
      <c r="E95" s="9" t="s">
        <v>12</v>
      </c>
      <c r="F95" s="109">
        <f>SUM(Open[[#This Row],[PR 1]:[PR 3]])</f>
        <v>158</v>
      </c>
      <c r="G95" s="109">
        <f>LARGE(Open[[#This Row],[TS SH O 22.02.22]:[PR3]],1)</f>
        <v>158</v>
      </c>
      <c r="H95" s="109">
        <f>LARGE(Open[[#This Row],[TS SH O 22.02.22]:[PR3]],2)</f>
        <v>0</v>
      </c>
      <c r="I95" s="109">
        <f>LARGE(Open[[#This Row],[TS SH O 22.02.22]:[PR3]],3)</f>
        <v>0</v>
      </c>
      <c r="J95" s="9">
        <f>RANK(K95,$K$7:$K$361,0)</f>
        <v>86</v>
      </c>
      <c r="K95" s="109">
        <f>SUM(L95:W95)</f>
        <v>158</v>
      </c>
      <c r="L95" s="109"/>
      <c r="M95" s="109" t="str">
        <f>IFERROR(VLOOKUP(Open[[#This Row],[TS SH O 23.04.22 Rang]],$AJ$16:$AK$111,2,0)*M$5," ")</f>
        <v xml:space="preserve"> </v>
      </c>
      <c r="N95" s="109">
        <f>IFERROR(VLOOKUP(Open[[#This Row],[TS LA O 08.05.22 Rang]],$AJ$16:$AK$111,2,0)*N$5," ")</f>
        <v>158</v>
      </c>
      <c r="O95" s="109" t="str">
        <f>IFERROR(VLOOKUP(Open[[#This Row],[TS SG O 25.05.22 Rang]],$AJ$16:$AK$111,2,0)*O$5," ")</f>
        <v xml:space="preserve"> </v>
      </c>
      <c r="P95" s="109" t="str">
        <f>IFERROR(VLOOKUP(Open[[#This Row],[TS SH O 25.06.22 Rang]],$AJ$16:$AK$111,2,0)*P$5," ")</f>
        <v xml:space="preserve"> </v>
      </c>
      <c r="Q95" s="109" t="str">
        <f>IFERROR(VLOOKUP(Open[[#This Row],[TS ZH O/A 25.06.22 Rang]],$AJ$16:$AK$111,2,0)*Q$5," ")</f>
        <v xml:space="preserve"> </v>
      </c>
      <c r="R95" s="109" t="str">
        <f>IFERROR(VLOOKUP(Open[[#This Row],[TS ZH O/B 25.06.22 Rang]],$AJ$16:$AK$111,2,0)*R$5," ")</f>
        <v xml:space="preserve"> </v>
      </c>
      <c r="S95" s="109" t="str">
        <f>IFERROR(VLOOKUP(Open[[#This Row],[SM BE O/A 09.07.22 Rang]],$AJ$16:$AK$111,2,0)*S$5," ")</f>
        <v xml:space="preserve"> </v>
      </c>
      <c r="T95" s="109" t="str">
        <f>IFERROR(VLOOKUP(Open[[#This Row],[SM BE O/B 09.07.22 Rang]],$AJ$16:$AK$111,2,0)*T$5," ")</f>
        <v xml:space="preserve"> </v>
      </c>
      <c r="U95" s="11">
        <v>0</v>
      </c>
      <c r="V95" s="11">
        <v>0</v>
      </c>
      <c r="W95" s="11">
        <v>0</v>
      </c>
      <c r="X95" s="129"/>
      <c r="Y95" s="191"/>
      <c r="Z95" s="191">
        <v>13</v>
      </c>
      <c r="AA95" s="191"/>
      <c r="AB95" s="191"/>
      <c r="AC95" s="191"/>
      <c r="AD95" s="191"/>
      <c r="AE95" s="191"/>
      <c r="AF95" s="191"/>
      <c r="AG95" s="161"/>
      <c r="AH95" s="161"/>
      <c r="AI95" s="161"/>
      <c r="AJ95" s="163">
        <v>79</v>
      </c>
      <c r="AK95" s="163">
        <v>10</v>
      </c>
      <c r="AL95" s="161"/>
      <c r="AM95" s="17"/>
      <c r="AN95" s="17"/>
      <c r="AO95" s="17"/>
      <c r="AP95" s="17"/>
      <c r="AQ95" s="17"/>
      <c r="AR95" s="17"/>
      <c r="BB95" s="4"/>
      <c r="BC95" s="4"/>
      <c r="BD95" s="4"/>
      <c r="BE95" s="4"/>
      <c r="BF95" s="4"/>
      <c r="BG95" s="4"/>
      <c r="BH95" s="4"/>
      <c r="BI95" s="4"/>
    </row>
    <row r="96" spans="1:61" x14ac:dyDescent="0.2">
      <c r="A96" s="86">
        <v>153</v>
      </c>
      <c r="B96" s="11">
        <f>IF(Open[[#This Row],[PR Rang beim letzten Turnier]]&gt;Open[[#This Row],[PR Rang]],1,IF(Open[[#This Row],[PR Rang beim letzten Turnier]]=Open[[#This Row],[PR Rang]],0,-1))</f>
        <v>1</v>
      </c>
      <c r="C96" s="194">
        <f>RANK(Open[[#This Row],[PR Punkte]],Open[PR Punkte],0)</f>
        <v>90</v>
      </c>
      <c r="D96" s="9" t="s">
        <v>584</v>
      </c>
      <c r="E96" s="11" t="s">
        <v>8</v>
      </c>
      <c r="F96" s="195">
        <f>SUM(Open[[#This Row],[PR 1]:[PR 3]])</f>
        <v>154.4</v>
      </c>
      <c r="G96" s="109">
        <f>LARGE(Open[[#This Row],[TS SH O 22.02.22]:[PR3]],1)</f>
        <v>110</v>
      </c>
      <c r="H96" s="109">
        <f>LARGE(Open[[#This Row],[TS SH O 22.02.22]:[PR3]],2)</f>
        <v>44.4</v>
      </c>
      <c r="I96" s="109">
        <f>LARGE(Open[[#This Row],[TS SH O 22.02.22]:[PR3]],3)</f>
        <v>0</v>
      </c>
      <c r="J96" s="196">
        <f>RANK(K96,$K$7:$K$361,0)</f>
        <v>90</v>
      </c>
      <c r="K96" s="109">
        <f>SUM(L96:W96)</f>
        <v>154.4</v>
      </c>
      <c r="L96" s="109"/>
      <c r="M96" s="109" t="str">
        <f>IFERROR(VLOOKUP(Open[[#This Row],[TS SH O 23.04.22 Rang]],$AJ$16:$AK$111,2,0)*M$5," ")</f>
        <v xml:space="preserve"> </v>
      </c>
      <c r="N96" s="109" t="str">
        <f>IFERROR(VLOOKUP(Open[[#This Row],[TS LA O 08.05.22 Rang]],$AJ$16:$AK$111,2,0)*N$5," ")</f>
        <v xml:space="preserve"> </v>
      </c>
      <c r="O96" s="109">
        <f>IFERROR(VLOOKUP(Open[[#This Row],[TS SG O 25.05.22 Rang]],$AJ$16:$AK$111,2,0)*O$5," ")</f>
        <v>44.4</v>
      </c>
      <c r="P96" s="109" t="str">
        <f>IFERROR(VLOOKUP(Open[[#This Row],[TS SH O 25.06.22 Rang]],$AJ$16:$AK$111,2,0)*P$5," ")</f>
        <v xml:space="preserve"> </v>
      </c>
      <c r="Q96" s="109" t="str">
        <f>IFERROR(VLOOKUP(Open[[#This Row],[TS ZH O/A 25.06.22 Rang]],$AJ$16:$AK$111,2,0)*Q$5," ")</f>
        <v xml:space="preserve"> </v>
      </c>
      <c r="R96" s="109" t="str">
        <f>IFERROR(VLOOKUP(Open[[#This Row],[TS ZH O/B 25.06.22 Rang]],$AJ$16:$AK$111,2,0)*R$5," ")</f>
        <v xml:space="preserve"> </v>
      </c>
      <c r="S96" s="109" t="str">
        <f>IFERROR(VLOOKUP(Open[[#This Row],[SM BE O/A 09.07.22 Rang]],$AJ$16:$AK$111,2,0)*S$5," ")</f>
        <v xml:space="preserve"> </v>
      </c>
      <c r="T96" s="109">
        <f>IFERROR(VLOOKUP(Open[[#This Row],[SM BE O/B 09.07.22 Rang]],$AJ$16:$AK$111,2,0)*T$5," ")</f>
        <v>110</v>
      </c>
      <c r="U96" s="11">
        <v>0</v>
      </c>
      <c r="V96" s="11">
        <v>0</v>
      </c>
      <c r="W96" s="11">
        <v>0</v>
      </c>
      <c r="X96" s="129"/>
      <c r="Y96" s="191"/>
      <c r="Z96" s="191"/>
      <c r="AA96" s="191">
        <v>19</v>
      </c>
      <c r="AB96" s="191"/>
      <c r="AC96" s="191"/>
      <c r="AD96" s="191"/>
      <c r="AE96" s="191"/>
      <c r="AF96" s="191">
        <v>1</v>
      </c>
      <c r="AG96" s="17"/>
      <c r="AH96" s="17"/>
      <c r="AI96" s="17"/>
      <c r="AJ96" s="155">
        <v>80</v>
      </c>
      <c r="AK96" s="155">
        <v>10</v>
      </c>
      <c r="AL96" s="17"/>
      <c r="AM96" s="17"/>
      <c r="AN96" s="17"/>
      <c r="AO96" s="17"/>
      <c r="AP96" s="17"/>
      <c r="AQ96" s="17"/>
      <c r="AR96" s="17"/>
      <c r="BB96" s="4"/>
      <c r="BC96" s="4"/>
      <c r="BD96" s="4"/>
      <c r="BE96" s="4"/>
      <c r="BF96" s="4"/>
      <c r="BG96" s="4"/>
      <c r="BH96" s="4"/>
      <c r="BI96" s="4"/>
    </row>
    <row r="97" spans="1:61" x14ac:dyDescent="0.2">
      <c r="A97" s="11">
        <v>85</v>
      </c>
      <c r="B97" s="11">
        <f>IF(Open[[#This Row],[PR Rang beim letzten Turnier]]&gt;Open[[#This Row],[PR Rang]],1,IF(Open[[#This Row],[PR Rang beim letzten Turnier]]=Open[[#This Row],[PR Rang]],0,-1))</f>
        <v>-1</v>
      </c>
      <c r="C97" s="147">
        <f>RANK(Open[[#This Row],[PR Punkte]],Open[PR Punkte],0)</f>
        <v>91</v>
      </c>
      <c r="D97" s="31" t="s">
        <v>60</v>
      </c>
      <c r="E97" s="11" t="s">
        <v>17</v>
      </c>
      <c r="F97" s="109">
        <f>SUM(Open[[#This Row],[PR 1]:[PR 3]])</f>
        <v>154</v>
      </c>
      <c r="G97" s="109">
        <f>LARGE(Open[[#This Row],[TS SH O 22.02.22]:[PR3]],1)</f>
        <v>154</v>
      </c>
      <c r="H97" s="109">
        <f>LARGE(Open[[#This Row],[TS SH O 22.02.22]:[PR3]],2)</f>
        <v>0</v>
      </c>
      <c r="I97" s="109">
        <f>LARGE(Open[[#This Row],[TS SH O 22.02.22]:[PR3]],3)</f>
        <v>0</v>
      </c>
      <c r="J97" s="11">
        <f>RANK(K97,$K$7:$K$295,0)</f>
        <v>91</v>
      </c>
      <c r="K97" s="109">
        <f>SUM(L97:W97)</f>
        <v>154</v>
      </c>
      <c r="L97" s="109" t="str">
        <f>IFERROR(VLOOKUP(Open[[#This Row],[TS SH 22.02.22 Rang]],$AJ$16:$AK$111,2,0)*L$5," ")</f>
        <v xml:space="preserve"> </v>
      </c>
      <c r="M97" s="109">
        <f>IFERROR(VLOOKUP(Open[[#This Row],[TS SH O 23.04.22 Rang]],$AJ$16:$AK$111,2,0)*M$5," ")</f>
        <v>154</v>
      </c>
      <c r="N97" s="109" t="str">
        <f>IFERROR(VLOOKUP(Open[[#This Row],[TS LA O 08.05.22 Rang]],$AJ$16:$AK$111,2,0)*N$5," ")</f>
        <v xml:space="preserve"> </v>
      </c>
      <c r="O97" s="109" t="str">
        <f>IFERROR(VLOOKUP(Open[[#This Row],[TS SG O 25.05.22 Rang]],$AJ$16:$AK$111,2,0)*O$5," ")</f>
        <v xml:space="preserve"> </v>
      </c>
      <c r="P97" s="109" t="str">
        <f>IFERROR(VLOOKUP(Open[[#This Row],[TS SH O 25.06.22 Rang]],$AJ$16:$AK$111,2,0)*P$5," ")</f>
        <v xml:space="preserve"> </v>
      </c>
      <c r="Q97" s="109" t="str">
        <f>IFERROR(VLOOKUP(Open[[#This Row],[TS ZH O/A 25.06.22 Rang]],$AJ$16:$AK$111,2,0)*Q$5," ")</f>
        <v xml:space="preserve"> </v>
      </c>
      <c r="R97" s="109" t="str">
        <f>IFERROR(VLOOKUP(Open[[#This Row],[TS ZH O/B 25.06.22 Rang]],$AJ$16:$AK$111,2,0)*R$5," ")</f>
        <v xml:space="preserve"> </v>
      </c>
      <c r="S97" s="109" t="str">
        <f>IFERROR(VLOOKUP(Open[[#This Row],[SM BE O/A 09.07.22 Rang]],$AJ$16:$AK$111,2,0)*S$5," ")</f>
        <v xml:space="preserve"> </v>
      </c>
      <c r="T97" s="109" t="str">
        <f>IFERROR(VLOOKUP(Open[[#This Row],[SM BE O/B 09.07.22 Rang]],$AJ$16:$AK$111,2,0)*T$5," ")</f>
        <v xml:space="preserve"> </v>
      </c>
      <c r="U97" s="11">
        <v>0</v>
      </c>
      <c r="V97" s="11">
        <v>0</v>
      </c>
      <c r="W97" s="11">
        <v>0</v>
      </c>
      <c r="X97" s="129"/>
      <c r="Y97" s="191">
        <v>16</v>
      </c>
      <c r="Z97" s="191"/>
      <c r="AA97" s="191"/>
      <c r="AB97" s="191"/>
      <c r="AC97" s="191"/>
      <c r="AD97" s="191"/>
      <c r="AE97" s="191"/>
      <c r="AF97" s="191"/>
      <c r="AG97" s="17"/>
      <c r="AH97" s="17"/>
      <c r="AI97" s="17"/>
      <c r="AJ97" s="155">
        <v>81</v>
      </c>
      <c r="AK97" s="155">
        <v>10</v>
      </c>
      <c r="AL97" s="17"/>
      <c r="AM97" s="17"/>
      <c r="AN97" s="17"/>
      <c r="AO97" s="17"/>
      <c r="AP97" s="17"/>
      <c r="AQ97" s="17"/>
      <c r="AR97" s="17"/>
      <c r="BB97" s="4"/>
      <c r="BC97" s="4"/>
      <c r="BD97" s="4"/>
      <c r="BE97" s="4"/>
      <c r="BF97" s="4"/>
      <c r="BG97" s="4"/>
      <c r="BH97" s="4"/>
      <c r="BI97" s="4"/>
    </row>
    <row r="98" spans="1:61" x14ac:dyDescent="0.2">
      <c r="A98" s="11">
        <v>85</v>
      </c>
      <c r="B98" s="11">
        <f>IF(Open[[#This Row],[PR Rang beim letzten Turnier]]&gt;Open[[#This Row],[PR Rang]],1,IF(Open[[#This Row],[PR Rang beim letzten Turnier]]=Open[[#This Row],[PR Rang]],0,-1))</f>
        <v>-1</v>
      </c>
      <c r="C98" s="147">
        <f>RANK(Open[[#This Row],[PR Punkte]],Open[PR Punkte],0)</f>
        <v>91</v>
      </c>
      <c r="D98" s="9" t="s">
        <v>480</v>
      </c>
      <c r="E98" s="9" t="s">
        <v>18</v>
      </c>
      <c r="F98" s="109">
        <f>SUM(Open[[#This Row],[PR 1]:[PR 3]])</f>
        <v>154</v>
      </c>
      <c r="G98" s="109">
        <f>LARGE(Open[[#This Row],[TS SH O 22.02.22]:[PR3]],1)</f>
        <v>154</v>
      </c>
      <c r="H98" s="109">
        <f>LARGE(Open[[#This Row],[TS SH O 22.02.22]:[PR3]],2)</f>
        <v>0</v>
      </c>
      <c r="I98" s="109">
        <f>LARGE(Open[[#This Row],[TS SH O 22.02.22]:[PR3]],3)</f>
        <v>0</v>
      </c>
      <c r="J98" s="9">
        <f>RANK(K98,$K$7:$K$361,0)</f>
        <v>91</v>
      </c>
      <c r="K98" s="109">
        <f>SUM(L98:W98)</f>
        <v>154</v>
      </c>
      <c r="L98" s="109"/>
      <c r="M98" s="109">
        <f>IFERROR(VLOOKUP(Open[[#This Row],[TS SH O 23.04.22 Rang]],$AJ$16:$AK$111,2,0)*M$5," ")</f>
        <v>154</v>
      </c>
      <c r="N98" s="109" t="str">
        <f>IFERROR(VLOOKUP(Open[[#This Row],[TS LA O 08.05.22 Rang]],$AJ$16:$AK$111,2,0)*N$5," ")</f>
        <v xml:space="preserve"> </v>
      </c>
      <c r="O98" s="109" t="str">
        <f>IFERROR(VLOOKUP(Open[[#This Row],[TS SG O 25.05.22 Rang]],$AJ$16:$AK$111,2,0)*O$5," ")</f>
        <v xml:space="preserve"> </v>
      </c>
      <c r="P98" s="109" t="str">
        <f>IFERROR(VLOOKUP(Open[[#This Row],[TS SH O 25.06.22 Rang]],$AJ$16:$AK$111,2,0)*P$5," ")</f>
        <v xml:space="preserve"> </v>
      </c>
      <c r="Q98" s="109" t="str">
        <f>IFERROR(VLOOKUP(Open[[#This Row],[TS ZH O/A 25.06.22 Rang]],$AJ$16:$AK$111,2,0)*Q$5," ")</f>
        <v xml:space="preserve"> </v>
      </c>
      <c r="R98" s="109" t="str">
        <f>IFERROR(VLOOKUP(Open[[#This Row],[TS ZH O/B 25.06.22 Rang]],$AJ$16:$AK$111,2,0)*R$5," ")</f>
        <v xml:space="preserve"> </v>
      </c>
      <c r="S98" s="109" t="str">
        <f>IFERROR(VLOOKUP(Open[[#This Row],[SM BE O/A 09.07.22 Rang]],$AJ$16:$AK$111,2,0)*S$5," ")</f>
        <v xml:space="preserve"> </v>
      </c>
      <c r="T98" s="109" t="str">
        <f>IFERROR(VLOOKUP(Open[[#This Row],[SM BE O/B 09.07.22 Rang]],$AJ$16:$AK$111,2,0)*T$5," ")</f>
        <v xml:space="preserve"> </v>
      </c>
      <c r="U98" s="11">
        <v>0</v>
      </c>
      <c r="V98" s="11">
        <v>0</v>
      </c>
      <c r="W98" s="11">
        <v>0</v>
      </c>
      <c r="X98" s="129"/>
      <c r="Y98" s="191">
        <v>9</v>
      </c>
      <c r="Z98" s="191"/>
      <c r="AA98" s="191"/>
      <c r="AB98" s="191"/>
      <c r="AC98" s="191"/>
      <c r="AD98" s="191"/>
      <c r="AE98" s="191"/>
      <c r="AF98" s="191"/>
      <c r="AG98" s="17"/>
      <c r="AH98" s="17"/>
      <c r="AI98" s="17"/>
      <c r="AJ98" s="155">
        <v>82</v>
      </c>
      <c r="AK98" s="155">
        <v>10</v>
      </c>
      <c r="AL98" s="17"/>
      <c r="AM98" s="17"/>
      <c r="AN98" s="17"/>
      <c r="AO98" s="17"/>
      <c r="AP98" s="17"/>
      <c r="AQ98" s="17"/>
      <c r="AR98" s="17"/>
      <c r="BB98" s="4"/>
      <c r="BC98" s="4"/>
      <c r="BD98" s="4"/>
      <c r="BE98" s="4"/>
      <c r="BF98" s="4"/>
      <c r="BG98" s="4"/>
      <c r="BH98" s="4"/>
      <c r="BI98" s="4"/>
    </row>
    <row r="99" spans="1:61" x14ac:dyDescent="0.2">
      <c r="A99" s="11">
        <v>85</v>
      </c>
      <c r="B99" s="11">
        <f>IF(Open[[#This Row],[PR Rang beim letzten Turnier]]&gt;Open[[#This Row],[PR Rang]],1,IF(Open[[#This Row],[PR Rang beim letzten Turnier]]=Open[[#This Row],[PR Rang]],0,-1))</f>
        <v>-1</v>
      </c>
      <c r="C99" s="147">
        <f>RANK(Open[[#This Row],[PR Punkte]],Open[PR Punkte],0)</f>
        <v>91</v>
      </c>
      <c r="D99" s="9" t="s">
        <v>481</v>
      </c>
      <c r="E99" s="9" t="s">
        <v>18</v>
      </c>
      <c r="F99" s="109">
        <f>SUM(Open[[#This Row],[PR 1]:[PR 3]])</f>
        <v>154</v>
      </c>
      <c r="G99" s="109">
        <f>LARGE(Open[[#This Row],[TS SH O 22.02.22]:[PR3]],1)</f>
        <v>154</v>
      </c>
      <c r="H99" s="109">
        <f>LARGE(Open[[#This Row],[TS SH O 22.02.22]:[PR3]],2)</f>
        <v>0</v>
      </c>
      <c r="I99" s="109">
        <f>LARGE(Open[[#This Row],[TS SH O 22.02.22]:[PR3]],3)</f>
        <v>0</v>
      </c>
      <c r="J99" s="9">
        <f>RANK(K99,$K$7:$K$361,0)</f>
        <v>91</v>
      </c>
      <c r="K99" s="109">
        <f>SUM(L99:W99)</f>
        <v>154</v>
      </c>
      <c r="L99" s="109"/>
      <c r="M99" s="109">
        <f>IFERROR(VLOOKUP(Open[[#This Row],[TS SH O 23.04.22 Rang]],$AJ$16:$AK$111,2,0)*M$5," ")</f>
        <v>154</v>
      </c>
      <c r="N99" s="109" t="str">
        <f>IFERROR(VLOOKUP(Open[[#This Row],[TS LA O 08.05.22 Rang]],$AJ$16:$AK$111,2,0)*N$5," ")</f>
        <v xml:space="preserve"> </v>
      </c>
      <c r="O99" s="109" t="str">
        <f>IFERROR(VLOOKUP(Open[[#This Row],[TS SG O 25.05.22 Rang]],$AJ$16:$AK$111,2,0)*O$5," ")</f>
        <v xml:space="preserve"> </v>
      </c>
      <c r="P99" s="109" t="str">
        <f>IFERROR(VLOOKUP(Open[[#This Row],[TS SH O 25.06.22 Rang]],$AJ$16:$AK$111,2,0)*P$5," ")</f>
        <v xml:space="preserve"> </v>
      </c>
      <c r="Q99" s="109" t="str">
        <f>IFERROR(VLOOKUP(Open[[#This Row],[TS ZH O/A 25.06.22 Rang]],$AJ$16:$AK$111,2,0)*Q$5," ")</f>
        <v xml:space="preserve"> </v>
      </c>
      <c r="R99" s="109" t="str">
        <f>IFERROR(VLOOKUP(Open[[#This Row],[TS ZH O/B 25.06.22 Rang]],$AJ$16:$AK$111,2,0)*R$5," ")</f>
        <v xml:space="preserve"> </v>
      </c>
      <c r="S99" s="109" t="str">
        <f>IFERROR(VLOOKUP(Open[[#This Row],[SM BE O/A 09.07.22 Rang]],$AJ$16:$AK$111,2,0)*S$5," ")</f>
        <v xml:space="preserve"> </v>
      </c>
      <c r="T99" s="109" t="str">
        <f>IFERROR(VLOOKUP(Open[[#This Row],[SM BE O/B 09.07.22 Rang]],$AJ$16:$AK$111,2,0)*T$5," ")</f>
        <v xml:space="preserve"> </v>
      </c>
      <c r="U99" s="11">
        <v>0</v>
      </c>
      <c r="V99" s="11">
        <v>0</v>
      </c>
      <c r="W99" s="11">
        <v>0</v>
      </c>
      <c r="X99" s="129"/>
      <c r="Y99" s="191">
        <v>12</v>
      </c>
      <c r="Z99" s="191"/>
      <c r="AA99" s="191"/>
      <c r="AB99" s="191"/>
      <c r="AC99" s="191"/>
      <c r="AD99" s="191"/>
      <c r="AE99" s="191"/>
      <c r="AF99" s="191"/>
      <c r="AG99" s="17"/>
      <c r="AH99" s="17"/>
      <c r="AI99" s="17"/>
      <c r="AJ99" s="155">
        <v>83</v>
      </c>
      <c r="AK99" s="155">
        <v>10</v>
      </c>
      <c r="AL99" s="17"/>
      <c r="AM99" s="17"/>
      <c r="AN99" s="17"/>
      <c r="AO99" s="17"/>
      <c r="AP99" s="17"/>
      <c r="AQ99" s="17"/>
      <c r="AR99" s="17"/>
      <c r="BB99" s="4"/>
      <c r="BC99" s="4"/>
      <c r="BD99" s="4"/>
      <c r="BE99" s="4"/>
      <c r="BF99" s="4"/>
      <c r="BG99" s="4"/>
      <c r="BH99" s="4"/>
      <c r="BI99" s="4"/>
    </row>
    <row r="100" spans="1:61" x14ac:dyDescent="0.2">
      <c r="A100" s="11">
        <v>85</v>
      </c>
      <c r="B100" s="11">
        <f>IF(Open[[#This Row],[PR Rang beim letzten Turnier]]&gt;Open[[#This Row],[PR Rang]],1,IF(Open[[#This Row],[PR Rang beim letzten Turnier]]=Open[[#This Row],[PR Rang]],0,-1))</f>
        <v>-1</v>
      </c>
      <c r="C100" s="147">
        <f>RANK(Open[[#This Row],[PR Punkte]],Open[PR Punkte],0)</f>
        <v>91</v>
      </c>
      <c r="D100" s="9" t="s">
        <v>482</v>
      </c>
      <c r="E100" s="9" t="s">
        <v>18</v>
      </c>
      <c r="F100" s="109">
        <f>SUM(Open[[#This Row],[PR 1]:[PR 3]])</f>
        <v>154</v>
      </c>
      <c r="G100" s="109">
        <f>LARGE(Open[[#This Row],[TS SH O 22.02.22]:[PR3]],1)</f>
        <v>154</v>
      </c>
      <c r="H100" s="109">
        <f>LARGE(Open[[#This Row],[TS SH O 22.02.22]:[PR3]],2)</f>
        <v>0</v>
      </c>
      <c r="I100" s="109">
        <f>LARGE(Open[[#This Row],[TS SH O 22.02.22]:[PR3]],3)</f>
        <v>0</v>
      </c>
      <c r="J100" s="9">
        <f>RANK(K100,$K$7:$K$361,0)</f>
        <v>91</v>
      </c>
      <c r="K100" s="109">
        <f>SUM(L100:W100)</f>
        <v>154</v>
      </c>
      <c r="L100" s="109"/>
      <c r="M100" s="109">
        <f>IFERROR(VLOOKUP(Open[[#This Row],[TS SH O 23.04.22 Rang]],$AJ$16:$AK$111,2,0)*M$5," ")</f>
        <v>154</v>
      </c>
      <c r="N100" s="109" t="str">
        <f>IFERROR(VLOOKUP(Open[[#This Row],[TS LA O 08.05.22 Rang]],$AJ$16:$AK$111,2,0)*N$5," ")</f>
        <v xml:space="preserve"> </v>
      </c>
      <c r="O100" s="109" t="str">
        <f>IFERROR(VLOOKUP(Open[[#This Row],[TS SG O 25.05.22 Rang]],$AJ$16:$AK$111,2,0)*O$5," ")</f>
        <v xml:space="preserve"> </v>
      </c>
      <c r="P100" s="109" t="str">
        <f>IFERROR(VLOOKUP(Open[[#This Row],[TS SH O 25.06.22 Rang]],$AJ$16:$AK$111,2,0)*P$5," ")</f>
        <v xml:space="preserve"> </v>
      </c>
      <c r="Q100" s="109" t="str">
        <f>IFERROR(VLOOKUP(Open[[#This Row],[TS ZH O/A 25.06.22 Rang]],$AJ$16:$AK$111,2,0)*Q$5," ")</f>
        <v xml:space="preserve"> </v>
      </c>
      <c r="R100" s="109" t="str">
        <f>IFERROR(VLOOKUP(Open[[#This Row],[TS ZH O/B 25.06.22 Rang]],$AJ$16:$AK$111,2,0)*R$5," ")</f>
        <v xml:space="preserve"> </v>
      </c>
      <c r="S100" s="109" t="str">
        <f>IFERROR(VLOOKUP(Open[[#This Row],[SM BE O/A 09.07.22 Rang]],$AJ$16:$AK$111,2,0)*S$5," ")</f>
        <v xml:space="preserve"> </v>
      </c>
      <c r="T100" s="109" t="str">
        <f>IFERROR(VLOOKUP(Open[[#This Row],[SM BE O/B 09.07.22 Rang]],$AJ$16:$AK$111,2,0)*T$5," ")</f>
        <v xml:space="preserve"> </v>
      </c>
      <c r="U100" s="11">
        <v>0</v>
      </c>
      <c r="V100" s="11">
        <v>0</v>
      </c>
      <c r="W100" s="11">
        <v>0</v>
      </c>
      <c r="X100" s="129"/>
      <c r="Y100" s="191">
        <v>12</v>
      </c>
      <c r="Z100" s="191"/>
      <c r="AA100" s="191"/>
      <c r="AB100" s="191"/>
      <c r="AC100" s="191"/>
      <c r="AD100" s="191"/>
      <c r="AE100" s="191"/>
      <c r="AF100" s="191"/>
      <c r="AG100" s="17"/>
      <c r="AH100" s="17"/>
      <c r="AI100" s="17"/>
      <c r="AJ100" s="155">
        <v>84</v>
      </c>
      <c r="AK100" s="155">
        <v>10</v>
      </c>
      <c r="AL100" s="17"/>
      <c r="AM100" s="17"/>
      <c r="AN100" s="17"/>
      <c r="AO100" s="17"/>
      <c r="AP100" s="17"/>
      <c r="AQ100" s="17"/>
      <c r="AR100" s="17"/>
      <c r="BB100" s="4"/>
      <c r="BC100" s="4"/>
      <c r="BD100" s="4"/>
      <c r="BE100" s="4"/>
      <c r="BF100" s="4"/>
      <c r="BG100" s="4"/>
      <c r="BH100" s="4"/>
      <c r="BI100" s="4"/>
    </row>
    <row r="101" spans="1:61" x14ac:dyDescent="0.2">
      <c r="A101" s="86">
        <v>85</v>
      </c>
      <c r="B101" s="11">
        <f>IF(Open[[#This Row],[PR Rang beim letzten Turnier]]&gt;Open[[#This Row],[PR Rang]],1,IF(Open[[#This Row],[PR Rang beim letzten Turnier]]=Open[[#This Row],[PR Rang]],0,-1))</f>
        <v>-1</v>
      </c>
      <c r="C101" s="194">
        <f>RANK(Open[[#This Row],[PR Punkte]],Open[PR Punkte],0)</f>
        <v>91</v>
      </c>
      <c r="D101" s="9" t="s">
        <v>483</v>
      </c>
      <c r="E101" s="9" t="s">
        <v>16</v>
      </c>
      <c r="F101" s="195">
        <f>SUM(Open[[#This Row],[PR 1]:[PR 3]])</f>
        <v>154</v>
      </c>
      <c r="G101" s="109">
        <f>LARGE(Open[[#This Row],[TS SH O 22.02.22]:[PR3]],1)</f>
        <v>154</v>
      </c>
      <c r="H101" s="109">
        <f>LARGE(Open[[#This Row],[TS SH O 22.02.22]:[PR3]],2)</f>
        <v>0</v>
      </c>
      <c r="I101" s="109">
        <f>LARGE(Open[[#This Row],[TS SH O 22.02.22]:[PR3]],3)</f>
        <v>0</v>
      </c>
      <c r="J101" s="196">
        <f>RANK(K101,$K$7:$K$361,0)</f>
        <v>91</v>
      </c>
      <c r="K101" s="109">
        <f>SUM(L101:W101)</f>
        <v>154</v>
      </c>
      <c r="L101" s="109"/>
      <c r="M101" s="109">
        <f>IFERROR(VLOOKUP(Open[[#This Row],[TS SH O 23.04.22 Rang]],$AJ$16:$AK$111,2,0)*M$5," ")</f>
        <v>154</v>
      </c>
      <c r="N101" s="109" t="str">
        <f>IFERROR(VLOOKUP(Open[[#This Row],[TS LA O 08.05.22 Rang]],$AJ$16:$AK$111,2,0)*N$5," ")</f>
        <v xml:space="preserve"> </v>
      </c>
      <c r="O101" s="109" t="str">
        <f>IFERROR(VLOOKUP(Open[[#This Row],[TS SG O 25.05.22 Rang]],$AJ$16:$AK$111,2,0)*O$5," ")</f>
        <v xml:space="preserve"> </v>
      </c>
      <c r="P101" s="109" t="str">
        <f>IFERROR(VLOOKUP(Open[[#This Row],[TS SH O 25.06.22 Rang]],$AJ$16:$AK$111,2,0)*P$5," ")</f>
        <v xml:space="preserve"> </v>
      </c>
      <c r="Q101" s="109" t="str">
        <f>IFERROR(VLOOKUP(Open[[#This Row],[TS ZH O/A 25.06.22 Rang]],$AJ$16:$AK$111,2,0)*Q$5," ")</f>
        <v xml:space="preserve"> </v>
      </c>
      <c r="R101" s="109" t="str">
        <f>IFERROR(VLOOKUP(Open[[#This Row],[TS ZH O/B 25.06.22 Rang]],$AJ$16:$AK$111,2,0)*R$5," ")</f>
        <v xml:space="preserve"> </v>
      </c>
      <c r="S101" s="109" t="str">
        <f>IFERROR(VLOOKUP(Open[[#This Row],[SM BE O/A 09.07.22 Rang]],$AJ$16:$AK$111,2,0)*S$5," ")</f>
        <v xml:space="preserve"> </v>
      </c>
      <c r="T101" s="109" t="str">
        <f>IFERROR(VLOOKUP(Open[[#This Row],[SM BE O/B 09.07.22 Rang]],$AJ$16:$AK$111,2,0)*T$5," ")</f>
        <v xml:space="preserve"> </v>
      </c>
      <c r="U101" s="11">
        <v>0</v>
      </c>
      <c r="V101" s="11">
        <v>0</v>
      </c>
      <c r="W101" s="11">
        <v>0</v>
      </c>
      <c r="X101" s="129"/>
      <c r="Y101" s="191">
        <v>13</v>
      </c>
      <c r="Z101" s="191"/>
      <c r="AA101" s="191"/>
      <c r="AB101" s="191"/>
      <c r="AC101" s="191"/>
      <c r="AD101" s="191"/>
      <c r="AE101" s="191"/>
      <c r="AF101" s="191"/>
      <c r="AG101" s="17"/>
      <c r="AH101" s="17"/>
      <c r="AI101" s="17"/>
      <c r="AJ101" s="155">
        <v>85</v>
      </c>
      <c r="AK101" s="155">
        <v>10</v>
      </c>
      <c r="AL101" s="17"/>
      <c r="AM101" s="17"/>
      <c r="AN101" s="17"/>
      <c r="AO101" s="17"/>
      <c r="AP101" s="17"/>
      <c r="AQ101" s="17"/>
      <c r="AR101" s="17"/>
      <c r="BB101" s="4"/>
      <c r="BC101" s="4"/>
      <c r="BD101" s="4"/>
      <c r="BE101" s="4"/>
      <c r="BF101" s="4"/>
      <c r="BG101" s="4"/>
      <c r="BH101" s="4"/>
      <c r="BI101" s="4"/>
    </row>
    <row r="102" spans="1:61" x14ac:dyDescent="0.2">
      <c r="A102" s="11">
        <v>114</v>
      </c>
      <c r="B102" s="11">
        <f>IF(Open[[#This Row],[PR Rang beim letzten Turnier]]&gt;Open[[#This Row],[PR Rang]],1,IF(Open[[#This Row],[PR Rang beim letzten Turnier]]=Open[[#This Row],[PR Rang]],0,-1))</f>
        <v>1</v>
      </c>
      <c r="C102" s="147">
        <f>RANK(Open[[#This Row],[PR Punkte]],Open[PR Punkte],0)</f>
        <v>96</v>
      </c>
      <c r="D102" s="31" t="s">
        <v>77</v>
      </c>
      <c r="E102" s="9" t="s">
        <v>10</v>
      </c>
      <c r="F102" s="109">
        <f>SUM(Open[[#This Row],[PR 1]:[PR 3]])</f>
        <v>151.19999999999999</v>
      </c>
      <c r="G102" s="109">
        <f>LARGE(Open[[#This Row],[TS SH O 22.02.22]:[PR3]],1)</f>
        <v>62.400000000000006</v>
      </c>
      <c r="H102" s="109">
        <f>LARGE(Open[[#This Row],[TS SH O 22.02.22]:[PR3]],2)</f>
        <v>46.2</v>
      </c>
      <c r="I102" s="109">
        <f>LARGE(Open[[#This Row],[TS SH O 22.02.22]:[PR3]],3)</f>
        <v>42.599999999999994</v>
      </c>
      <c r="J102" s="9">
        <f>RANK(K102,$K$7:$K$295,0)</f>
        <v>96</v>
      </c>
      <c r="K102" s="109">
        <f>SUM(L102:W102)</f>
        <v>151.19999999999999</v>
      </c>
      <c r="L102" s="109" t="str">
        <f>IFERROR(VLOOKUP(Open[[#This Row],[TS SH 22.02.22 Rang]],$AJ$16:$AK$111,2,0)*L$5," ")</f>
        <v xml:space="preserve"> </v>
      </c>
      <c r="M102" s="109">
        <f>IFERROR(VLOOKUP(Open[[#This Row],[TS SH O 23.04.22 Rang]],$AJ$16:$AK$111,2,0)*M$5," ")</f>
        <v>46.2</v>
      </c>
      <c r="N102" s="109" t="str">
        <f>IFERROR(VLOOKUP(Open[[#This Row],[TS LA O 08.05.22 Rang]],$AJ$16:$AK$111,2,0)*N$5," ")</f>
        <v xml:space="preserve"> </v>
      </c>
      <c r="O102" s="109" t="str">
        <f>IFERROR(VLOOKUP(Open[[#This Row],[TS SG O 25.05.22 Rang]],$AJ$16:$AK$111,2,0)*O$5," ")</f>
        <v xml:space="preserve"> </v>
      </c>
      <c r="P102" s="109" t="str">
        <f>IFERROR(VLOOKUP(Open[[#This Row],[TS SH O 25.06.22 Rang]],$AJ$16:$AK$111,2,0)*P$5," ")</f>
        <v xml:space="preserve"> </v>
      </c>
      <c r="Q102" s="109">
        <f>IFERROR(VLOOKUP(Open[[#This Row],[TS ZH O/A 25.06.22 Rang]],$AJ$16:$AK$111,2,0)*Q$5," ")</f>
        <v>42.599999999999994</v>
      </c>
      <c r="R102" s="109" t="str">
        <f>IFERROR(VLOOKUP(Open[[#This Row],[TS ZH O/B 25.06.22 Rang]],$AJ$16:$AK$111,2,0)*R$5," ")</f>
        <v xml:space="preserve"> </v>
      </c>
      <c r="S102" s="109">
        <f>IFERROR(VLOOKUP(Open[[#This Row],[SM BE O/A 09.07.22 Rang]],$AJ$16:$AK$111,2,0)*S$5," ")</f>
        <v>62.400000000000006</v>
      </c>
      <c r="T102" s="109" t="str">
        <f>IFERROR(VLOOKUP(Open[[#This Row],[SM BE O/B 09.07.22 Rang]],$AJ$16:$AK$111,2,0)*T$5," ")</f>
        <v xml:space="preserve"> </v>
      </c>
      <c r="U102" s="11">
        <v>0</v>
      </c>
      <c r="V102" s="11">
        <v>0</v>
      </c>
      <c r="W102" s="11">
        <v>0</v>
      </c>
      <c r="X102" s="129"/>
      <c r="Y102" s="191">
        <v>20</v>
      </c>
      <c r="Z102" s="191"/>
      <c r="AA102" s="191"/>
      <c r="AB102" s="191"/>
      <c r="AC102" s="191">
        <v>19</v>
      </c>
      <c r="AD102" s="191"/>
      <c r="AE102" s="191">
        <v>19</v>
      </c>
      <c r="AF102" s="191"/>
      <c r="AG102" s="161"/>
      <c r="AH102" s="161"/>
      <c r="AI102" s="161"/>
      <c r="AJ102" s="155">
        <v>86</v>
      </c>
      <c r="AK102" s="155">
        <v>10</v>
      </c>
      <c r="AL102" s="161"/>
      <c r="AM102" s="17"/>
      <c r="AN102" s="17"/>
      <c r="AO102" s="17"/>
      <c r="AP102" s="17"/>
      <c r="AQ102" s="17"/>
      <c r="AR102" s="17"/>
      <c r="BB102" s="4"/>
      <c r="BC102" s="4"/>
      <c r="BD102" s="4"/>
      <c r="BE102" s="4"/>
      <c r="BF102" s="4"/>
      <c r="BG102" s="4"/>
      <c r="BH102" s="4"/>
      <c r="BI102" s="4"/>
    </row>
    <row r="103" spans="1:61" x14ac:dyDescent="0.2">
      <c r="A103" s="17">
        <v>90</v>
      </c>
      <c r="B103" s="17">
        <f>IF(Open[[#This Row],[PR Rang beim letzten Turnier]]&gt;Open[[#This Row],[PR Rang]],1,IF(Open[[#This Row],[PR Rang beim letzten Turnier]]=Open[[#This Row],[PR Rang]],0,-1))</f>
        <v>-1</v>
      </c>
      <c r="C103" s="112">
        <f>RANK(Open[[#This Row],[PR Punkte]],Open[PR Punkte],0)</f>
        <v>97</v>
      </c>
      <c r="D103" s="222" t="s">
        <v>130</v>
      </c>
      <c r="E103" s="11" t="s">
        <v>17</v>
      </c>
      <c r="F103" s="109">
        <f>SUM(Open[[#This Row],[PR 1]:[PR 3]])</f>
        <v>148</v>
      </c>
      <c r="G103" s="109">
        <f>LARGE(Open[[#This Row],[TS SH O 22.02.22]:[PR3]],1)</f>
        <v>148</v>
      </c>
      <c r="H103" s="109">
        <f>LARGE(Open[[#This Row],[TS SH O 22.02.22]:[PR3]],2)</f>
        <v>0</v>
      </c>
      <c r="I103" s="109">
        <f>LARGE(Open[[#This Row],[TS SH O 22.02.22]:[PR3]],3)</f>
        <v>0</v>
      </c>
      <c r="J103" s="11">
        <f>RANK(K103,$K$7:$K$295,0)</f>
        <v>97</v>
      </c>
      <c r="K103" s="109">
        <f>SUM(L103:W103)</f>
        <v>148</v>
      </c>
      <c r="L103" s="109" t="str">
        <f>IFERROR(VLOOKUP(Open[[#This Row],[TS SH 22.02.22 Rang]],$AJ$16:$AK$111,2,0)*L$5," ")</f>
        <v xml:space="preserve"> </v>
      </c>
      <c r="M103" s="109" t="str">
        <f>IFERROR(VLOOKUP(Open[[#This Row],[TS SH O 23.04.22 Rang]],$AJ$16:$AK$111,2,0)*M$5," ")</f>
        <v xml:space="preserve"> </v>
      </c>
      <c r="N103" s="109" t="str">
        <f>IFERROR(VLOOKUP(Open[[#This Row],[TS LA O 08.05.22 Rang]],$AJ$16:$AK$111,2,0)*N$5," ")</f>
        <v xml:space="preserve"> </v>
      </c>
      <c r="O103" s="109" t="str">
        <f>IFERROR(VLOOKUP(Open[[#This Row],[TS SG O 25.05.22 Rang]],$AJ$16:$AK$111,2,0)*O$5," ")</f>
        <v xml:space="preserve"> </v>
      </c>
      <c r="P103" s="109">
        <f>IFERROR(VLOOKUP(Open[[#This Row],[TS SH O 25.06.22 Rang]],$AJ$16:$AK$111,2,0)*P$5," ")</f>
        <v>148</v>
      </c>
      <c r="Q103" s="109" t="str">
        <f>IFERROR(VLOOKUP(Open[[#This Row],[TS ZH O/A 25.06.22 Rang]],$AJ$16:$AK$111,2,0)*Q$5," ")</f>
        <v xml:space="preserve"> </v>
      </c>
      <c r="R103" s="109" t="str">
        <f>IFERROR(VLOOKUP(Open[[#This Row],[TS ZH O/B 25.06.22 Rang]],$AJ$16:$AK$111,2,0)*R$5," ")</f>
        <v xml:space="preserve"> </v>
      </c>
      <c r="S103" s="109" t="str">
        <f>IFERROR(VLOOKUP(Open[[#This Row],[SM BE O/A 09.07.22 Rang]],$AJ$16:$AK$111,2,0)*S$5," ")</f>
        <v xml:space="preserve"> </v>
      </c>
      <c r="T103" s="109" t="str">
        <f>IFERROR(VLOOKUP(Open[[#This Row],[SM BE O/B 09.07.22 Rang]],$AJ$16:$AK$111,2,0)*T$5," ")</f>
        <v xml:space="preserve"> </v>
      </c>
      <c r="U103" s="11">
        <v>0</v>
      </c>
      <c r="V103" s="11">
        <v>0</v>
      </c>
      <c r="W103" s="11">
        <v>0</v>
      </c>
      <c r="X103" s="129"/>
      <c r="Y103" s="191"/>
      <c r="Z103" s="191"/>
      <c r="AA103" s="191"/>
      <c r="AB103" s="191">
        <v>15</v>
      </c>
      <c r="AC103" s="191"/>
      <c r="AD103" s="191"/>
      <c r="AE103" s="191"/>
      <c r="AF103" s="191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BB103" s="4"/>
      <c r="BC103" s="4"/>
      <c r="BD103" s="4"/>
      <c r="BE103" s="4"/>
      <c r="BF103" s="4"/>
      <c r="BG103" s="4"/>
      <c r="BH103" s="4"/>
      <c r="BI103" s="4"/>
    </row>
    <row r="104" spans="1:61" x14ac:dyDescent="0.2">
      <c r="A104" s="86">
        <v>90</v>
      </c>
      <c r="B104" s="11">
        <f>IF(Open[[#This Row],[PR Rang beim letzten Turnier]]&gt;Open[[#This Row],[PR Rang]],1,IF(Open[[#This Row],[PR Rang beim letzten Turnier]]=Open[[#This Row],[PR Rang]],0,-1))</f>
        <v>-1</v>
      </c>
      <c r="C104" s="194">
        <f>RANK(Open[[#This Row],[PR Punkte]],Open[PR Punkte],0)</f>
        <v>97</v>
      </c>
      <c r="D104" s="9" t="s">
        <v>579</v>
      </c>
      <c r="E104" s="11" t="s">
        <v>11</v>
      </c>
      <c r="F104" s="195">
        <f>SUM(Open[[#This Row],[PR 1]:[PR 3]])</f>
        <v>148</v>
      </c>
      <c r="G104" s="109">
        <f>LARGE(Open[[#This Row],[TS SH O 22.02.22]:[PR3]],1)</f>
        <v>148</v>
      </c>
      <c r="H104" s="109">
        <f>LARGE(Open[[#This Row],[TS SH O 22.02.22]:[PR3]],2)</f>
        <v>0</v>
      </c>
      <c r="I104" s="109">
        <f>LARGE(Open[[#This Row],[TS SH O 22.02.22]:[PR3]],3)</f>
        <v>0</v>
      </c>
      <c r="J104" s="196">
        <f>RANK(K104,$K$7:$K$361,0)</f>
        <v>97</v>
      </c>
      <c r="K104" s="109">
        <f>SUM(L104:W104)</f>
        <v>148</v>
      </c>
      <c r="L104" s="109"/>
      <c r="M104" s="109" t="str">
        <f>IFERROR(VLOOKUP(Open[[#This Row],[TS SH O 23.04.22 Rang]],$AJ$16:$AK$111,2,0)*M$5," ")</f>
        <v xml:space="preserve"> </v>
      </c>
      <c r="N104" s="109" t="str">
        <f>IFERROR(VLOOKUP(Open[[#This Row],[TS LA O 08.05.22 Rang]],$AJ$16:$AK$111,2,0)*N$5," ")</f>
        <v xml:space="preserve"> </v>
      </c>
      <c r="O104" s="109">
        <f>IFERROR(VLOOKUP(Open[[#This Row],[TS SG O 25.05.22 Rang]],$AJ$16:$AK$111,2,0)*O$5," ")</f>
        <v>148</v>
      </c>
      <c r="P104" s="109" t="str">
        <f>IFERROR(VLOOKUP(Open[[#This Row],[TS SH O 25.06.22 Rang]],$AJ$16:$AK$111,2,0)*P$5," ")</f>
        <v xml:space="preserve"> </v>
      </c>
      <c r="Q104" s="109" t="str">
        <f>IFERROR(VLOOKUP(Open[[#This Row],[TS ZH O/A 25.06.22 Rang]],$AJ$16:$AK$111,2,0)*Q$5," ")</f>
        <v xml:space="preserve"> </v>
      </c>
      <c r="R104" s="109" t="str">
        <f>IFERROR(VLOOKUP(Open[[#This Row],[TS ZH O/B 25.06.22 Rang]],$AJ$16:$AK$111,2,0)*R$5," ")</f>
        <v xml:space="preserve"> </v>
      </c>
      <c r="S104" s="109" t="str">
        <f>IFERROR(VLOOKUP(Open[[#This Row],[SM BE O/A 09.07.22 Rang]],$AJ$16:$AK$111,2,0)*S$5," ")</f>
        <v xml:space="preserve"> </v>
      </c>
      <c r="T104" s="109" t="str">
        <f>IFERROR(VLOOKUP(Open[[#This Row],[SM BE O/B 09.07.22 Rang]],$AJ$16:$AK$111,2,0)*T$5," ")</f>
        <v xml:space="preserve"> </v>
      </c>
      <c r="U104" s="11">
        <v>0</v>
      </c>
      <c r="V104" s="11">
        <v>0</v>
      </c>
      <c r="W104" s="11">
        <v>0</v>
      </c>
      <c r="X104" s="129"/>
      <c r="Y104" s="191"/>
      <c r="Z104" s="191"/>
      <c r="AA104" s="191">
        <v>15</v>
      </c>
      <c r="AB104" s="191"/>
      <c r="AC104" s="191"/>
      <c r="AD104" s="191"/>
      <c r="AE104" s="191"/>
      <c r="AF104" s="191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BB104" s="4"/>
      <c r="BC104" s="4"/>
      <c r="BD104" s="4"/>
      <c r="BE104" s="4"/>
      <c r="BF104" s="4"/>
      <c r="BG104" s="4"/>
      <c r="BH104" s="4"/>
      <c r="BI104" s="4"/>
    </row>
    <row r="105" spans="1:61" x14ac:dyDescent="0.2">
      <c r="A105" s="86">
        <v>90</v>
      </c>
      <c r="B105" s="11">
        <f>IF(Open[[#This Row],[PR Rang beim letzten Turnier]]&gt;Open[[#This Row],[PR Rang]],1,IF(Open[[#This Row],[PR Rang beim letzten Turnier]]=Open[[#This Row],[PR Rang]],0,-1))</f>
        <v>-1</v>
      </c>
      <c r="C105" s="194">
        <f>RANK(Open[[#This Row],[PR Punkte]],Open[PR Punkte],0)</f>
        <v>97</v>
      </c>
      <c r="D105" s="9" t="s">
        <v>580</v>
      </c>
      <c r="E105" s="11" t="s">
        <v>11</v>
      </c>
      <c r="F105" s="195">
        <f>SUM(Open[[#This Row],[PR 1]:[PR 3]])</f>
        <v>148</v>
      </c>
      <c r="G105" s="109">
        <f>LARGE(Open[[#This Row],[TS SH O 22.02.22]:[PR3]],1)</f>
        <v>148</v>
      </c>
      <c r="H105" s="109">
        <f>LARGE(Open[[#This Row],[TS SH O 22.02.22]:[PR3]],2)</f>
        <v>0</v>
      </c>
      <c r="I105" s="109">
        <f>LARGE(Open[[#This Row],[TS SH O 22.02.22]:[PR3]],3)</f>
        <v>0</v>
      </c>
      <c r="J105" s="196">
        <f>RANK(K105,$K$7:$K$361,0)</f>
        <v>97</v>
      </c>
      <c r="K105" s="109">
        <f>SUM(L105:W105)</f>
        <v>148</v>
      </c>
      <c r="L105" s="109"/>
      <c r="M105" s="109" t="str">
        <f>IFERROR(VLOOKUP(Open[[#This Row],[TS SH O 23.04.22 Rang]],$AJ$16:$AK$111,2,0)*M$5," ")</f>
        <v xml:space="preserve"> </v>
      </c>
      <c r="N105" s="109" t="str">
        <f>IFERROR(VLOOKUP(Open[[#This Row],[TS LA O 08.05.22 Rang]],$AJ$16:$AK$111,2,0)*N$5," ")</f>
        <v xml:space="preserve"> </v>
      </c>
      <c r="O105" s="109">
        <f>IFERROR(VLOOKUP(Open[[#This Row],[TS SG O 25.05.22 Rang]],$AJ$16:$AK$111,2,0)*O$5," ")</f>
        <v>148</v>
      </c>
      <c r="P105" s="109" t="str">
        <f>IFERROR(VLOOKUP(Open[[#This Row],[TS SH O 25.06.22 Rang]],$AJ$16:$AK$111,2,0)*P$5," ")</f>
        <v xml:space="preserve"> </v>
      </c>
      <c r="Q105" s="109" t="str">
        <f>IFERROR(VLOOKUP(Open[[#This Row],[TS ZH O/A 25.06.22 Rang]],$AJ$16:$AK$111,2,0)*Q$5," ")</f>
        <v xml:space="preserve"> </v>
      </c>
      <c r="R105" s="109" t="str">
        <f>IFERROR(VLOOKUP(Open[[#This Row],[TS ZH O/B 25.06.22 Rang]],$AJ$16:$AK$111,2,0)*R$5," ")</f>
        <v xml:space="preserve"> </v>
      </c>
      <c r="S105" s="109" t="str">
        <f>IFERROR(VLOOKUP(Open[[#This Row],[SM BE O/A 09.07.22 Rang]],$AJ$16:$AK$111,2,0)*S$5," ")</f>
        <v xml:space="preserve"> </v>
      </c>
      <c r="T105" s="109" t="str">
        <f>IFERROR(VLOOKUP(Open[[#This Row],[SM BE O/B 09.07.22 Rang]],$AJ$16:$AK$111,2,0)*T$5," ")</f>
        <v xml:space="preserve"> </v>
      </c>
      <c r="U105" s="11">
        <v>0</v>
      </c>
      <c r="V105" s="11">
        <v>0</v>
      </c>
      <c r="W105" s="11">
        <v>0</v>
      </c>
      <c r="X105" s="129"/>
      <c r="Y105" s="191"/>
      <c r="Z105" s="191"/>
      <c r="AA105" s="191">
        <v>15</v>
      </c>
      <c r="AB105" s="191"/>
      <c r="AC105" s="191"/>
      <c r="AD105" s="191"/>
      <c r="AE105" s="191"/>
      <c r="AF105" s="191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BB105" s="4"/>
      <c r="BC105" s="4"/>
      <c r="BD105" s="4"/>
      <c r="BE105" s="4"/>
      <c r="BF105" s="4"/>
      <c r="BG105" s="4"/>
      <c r="BH105" s="4"/>
      <c r="BI105" s="4"/>
    </row>
    <row r="106" spans="1:61" x14ac:dyDescent="0.2">
      <c r="A106" s="86">
        <v>90</v>
      </c>
      <c r="B106" s="11">
        <f>IF(Open[[#This Row],[PR Rang beim letzten Turnier]]&gt;Open[[#This Row],[PR Rang]],1,IF(Open[[#This Row],[PR Rang beim letzten Turnier]]=Open[[#This Row],[PR Rang]],0,-1))</f>
        <v>-1</v>
      </c>
      <c r="C106" s="194">
        <f>RANK(Open[[#This Row],[PR Punkte]],Open[PR Punkte],0)</f>
        <v>97</v>
      </c>
      <c r="D106" s="9" t="s">
        <v>577</v>
      </c>
      <c r="E106" s="11" t="s">
        <v>7</v>
      </c>
      <c r="F106" s="195">
        <f>SUM(Open[[#This Row],[PR 1]:[PR 3]])</f>
        <v>148</v>
      </c>
      <c r="G106" s="109">
        <f>LARGE(Open[[#This Row],[TS SH O 22.02.22]:[PR3]],1)</f>
        <v>148</v>
      </c>
      <c r="H106" s="109">
        <f>LARGE(Open[[#This Row],[TS SH O 22.02.22]:[PR3]],2)</f>
        <v>0</v>
      </c>
      <c r="I106" s="109">
        <f>LARGE(Open[[#This Row],[TS SH O 22.02.22]:[PR3]],3)</f>
        <v>0</v>
      </c>
      <c r="J106" s="196">
        <f>RANK(K106,$K$7:$K$361,0)</f>
        <v>97</v>
      </c>
      <c r="K106" s="109">
        <f>SUM(L106:W106)</f>
        <v>148</v>
      </c>
      <c r="L106" s="109"/>
      <c r="M106" s="109" t="str">
        <f>IFERROR(VLOOKUP(Open[[#This Row],[TS SH O 23.04.22 Rang]],$AJ$16:$AK$111,2,0)*M$5," ")</f>
        <v xml:space="preserve"> </v>
      </c>
      <c r="N106" s="109" t="str">
        <f>IFERROR(VLOOKUP(Open[[#This Row],[TS LA O 08.05.22 Rang]],$AJ$16:$AK$111,2,0)*N$5," ")</f>
        <v xml:space="preserve"> </v>
      </c>
      <c r="O106" s="109">
        <f>IFERROR(VLOOKUP(Open[[#This Row],[TS SG O 25.05.22 Rang]],$AJ$16:$AK$111,2,0)*O$5," ")</f>
        <v>148</v>
      </c>
      <c r="P106" s="109" t="str">
        <f>IFERROR(VLOOKUP(Open[[#This Row],[TS SH O 25.06.22 Rang]],$AJ$16:$AK$111,2,0)*P$5," ")</f>
        <v xml:space="preserve"> </v>
      </c>
      <c r="Q106" s="109" t="str">
        <f>IFERROR(VLOOKUP(Open[[#This Row],[TS ZH O/A 25.06.22 Rang]],$AJ$16:$AK$111,2,0)*Q$5," ")</f>
        <v xml:space="preserve"> </v>
      </c>
      <c r="R106" s="109" t="str">
        <f>IFERROR(VLOOKUP(Open[[#This Row],[TS ZH O/B 25.06.22 Rang]],$AJ$16:$AK$111,2,0)*R$5," ")</f>
        <v xml:space="preserve"> </v>
      </c>
      <c r="S106" s="109" t="str">
        <f>IFERROR(VLOOKUP(Open[[#This Row],[SM BE O/A 09.07.22 Rang]],$AJ$16:$AK$111,2,0)*S$5," ")</f>
        <v xml:space="preserve"> </v>
      </c>
      <c r="T106" s="109" t="str">
        <f>IFERROR(VLOOKUP(Open[[#This Row],[SM BE O/B 09.07.22 Rang]],$AJ$16:$AK$111,2,0)*T$5," ")</f>
        <v xml:space="preserve"> </v>
      </c>
      <c r="U106" s="11">
        <v>0</v>
      </c>
      <c r="V106" s="11">
        <v>0</v>
      </c>
      <c r="W106" s="11">
        <v>0</v>
      </c>
      <c r="X106" s="129"/>
      <c r="Y106" s="191"/>
      <c r="Z106" s="191"/>
      <c r="AA106" s="191">
        <v>16</v>
      </c>
      <c r="AB106" s="191"/>
      <c r="AC106" s="191"/>
      <c r="AD106" s="191"/>
      <c r="AE106" s="191"/>
      <c r="AF106" s="191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BB106" s="4"/>
      <c r="BC106" s="4"/>
      <c r="BD106" s="4"/>
      <c r="BE106" s="4"/>
      <c r="BF106" s="4"/>
      <c r="BG106" s="4"/>
      <c r="BH106" s="4"/>
      <c r="BI106" s="4"/>
    </row>
    <row r="107" spans="1:61" x14ac:dyDescent="0.2">
      <c r="A107" s="86">
        <v>90</v>
      </c>
      <c r="B107" s="86">
        <f>IF(Open[[#This Row],[PR Rang beim letzten Turnier]]&gt;Open[[#This Row],[PR Rang]],1,IF(Open[[#This Row],[PR Rang beim letzten Turnier]]=Open[[#This Row],[PR Rang]],0,-1))</f>
        <v>-1</v>
      </c>
      <c r="C107" s="194">
        <f>RANK(Open[[#This Row],[PR Punkte]],Open[PR Punkte],0)</f>
        <v>97</v>
      </c>
      <c r="D107" s="9" t="s">
        <v>578</v>
      </c>
      <c r="E107" s="11" t="s">
        <v>7</v>
      </c>
      <c r="F107" s="195">
        <f>SUM(Open[[#This Row],[PR 1]:[PR 3]])</f>
        <v>148</v>
      </c>
      <c r="G107" s="109">
        <f>LARGE(Open[[#This Row],[TS SH O 22.02.22]:[PR3]],1)</f>
        <v>148</v>
      </c>
      <c r="H107" s="109">
        <f>LARGE(Open[[#This Row],[TS SH O 22.02.22]:[PR3]],2)</f>
        <v>0</v>
      </c>
      <c r="I107" s="109">
        <f>LARGE(Open[[#This Row],[TS SH O 22.02.22]:[PR3]],3)</f>
        <v>0</v>
      </c>
      <c r="J107" s="196">
        <f>RANK(K107,$K$7:$K$361,0)</f>
        <v>97</v>
      </c>
      <c r="K107" s="109">
        <f>SUM(L107:W107)</f>
        <v>148</v>
      </c>
      <c r="L107" s="109"/>
      <c r="M107" s="109" t="str">
        <f>IFERROR(VLOOKUP(Open[[#This Row],[TS SH O 23.04.22 Rang]],$AJ$16:$AK$111,2,0)*M$5," ")</f>
        <v xml:space="preserve"> </v>
      </c>
      <c r="N107" s="109" t="str">
        <f>IFERROR(VLOOKUP(Open[[#This Row],[TS LA O 08.05.22 Rang]],$AJ$16:$AK$111,2,0)*N$5," ")</f>
        <v xml:space="preserve"> </v>
      </c>
      <c r="O107" s="109">
        <f>IFERROR(VLOOKUP(Open[[#This Row],[TS SG O 25.05.22 Rang]],$AJ$16:$AK$111,2,0)*O$5," ")</f>
        <v>148</v>
      </c>
      <c r="P107" s="109" t="str">
        <f>IFERROR(VLOOKUP(Open[[#This Row],[TS SH O 25.06.22 Rang]],$AJ$16:$AK$111,2,0)*P$5," ")</f>
        <v xml:space="preserve"> </v>
      </c>
      <c r="Q107" s="109" t="str">
        <f>IFERROR(VLOOKUP(Open[[#This Row],[TS ZH O/A 25.06.22 Rang]],$AJ$16:$AK$111,2,0)*Q$5," ")</f>
        <v xml:space="preserve"> </v>
      </c>
      <c r="R107" s="109" t="str">
        <f>IFERROR(VLOOKUP(Open[[#This Row],[TS ZH O/B 25.06.22 Rang]],$AJ$16:$AK$111,2,0)*R$5," ")</f>
        <v xml:space="preserve"> </v>
      </c>
      <c r="S107" s="109" t="str">
        <f>IFERROR(VLOOKUP(Open[[#This Row],[SM BE O/A 09.07.22 Rang]],$AJ$16:$AK$111,2,0)*S$5," ")</f>
        <v xml:space="preserve"> </v>
      </c>
      <c r="T107" s="109" t="str">
        <f>IFERROR(VLOOKUP(Open[[#This Row],[SM BE O/B 09.07.22 Rang]],$AJ$16:$AK$111,2,0)*T$5," ")</f>
        <v xml:space="preserve"> </v>
      </c>
      <c r="U107" s="11">
        <v>0</v>
      </c>
      <c r="V107" s="11">
        <v>0</v>
      </c>
      <c r="W107" s="11">
        <v>0</v>
      </c>
      <c r="X107" s="129"/>
      <c r="Y107" s="191"/>
      <c r="Z107" s="191"/>
      <c r="AA107" s="191">
        <v>16</v>
      </c>
      <c r="AB107" s="191"/>
      <c r="AC107" s="191"/>
      <c r="AD107" s="191"/>
      <c r="AE107" s="191"/>
      <c r="AF107" s="191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BB107" s="4"/>
      <c r="BC107" s="4"/>
      <c r="BD107" s="4"/>
      <c r="BE107" s="4"/>
      <c r="BF107" s="4"/>
      <c r="BG107" s="4"/>
      <c r="BH107" s="4"/>
      <c r="BI107" s="4"/>
    </row>
    <row r="108" spans="1:61" x14ac:dyDescent="0.2">
      <c r="A108" s="258">
        <v>90</v>
      </c>
      <c r="B108" s="11">
        <f>IF(Open[[#This Row],[PR Rang beim letzten Turnier]]&gt;Open[[#This Row],[PR Rang]],1,IF(Open[[#This Row],[PR Rang beim letzten Turnier]]=Open[[#This Row],[PR Rang]],0,-1))</f>
        <v>-1</v>
      </c>
      <c r="C108" s="259">
        <f>RANK(Open[[#This Row],[PR Punkte]],Open[PR Punkte],0)</f>
        <v>97</v>
      </c>
      <c r="D108" s="264" t="s">
        <v>588</v>
      </c>
      <c r="E108" t="s">
        <v>18</v>
      </c>
      <c r="F108" s="260">
        <f>SUM(Open[[#This Row],[PR 1]:[PR 3]])</f>
        <v>148</v>
      </c>
      <c r="G108" s="109">
        <f>LARGE(Open[[#This Row],[TS SH O 22.02.22]:[PR3]],1)</f>
        <v>148</v>
      </c>
      <c r="H108" s="109">
        <f>LARGE(Open[[#This Row],[TS SH O 22.02.22]:[PR3]],2)</f>
        <v>0</v>
      </c>
      <c r="I108" s="109">
        <f>LARGE(Open[[#This Row],[TS SH O 22.02.22]:[PR3]],3)</f>
        <v>0</v>
      </c>
      <c r="J108" s="196">
        <f>RANK(K108,$K$7:$K$361,0)</f>
        <v>97</v>
      </c>
      <c r="K108" s="261">
        <f>SUM(L108:W108)</f>
        <v>148</v>
      </c>
      <c r="L108" s="261"/>
      <c r="M108" s="261" t="str">
        <f>IFERROR(VLOOKUP(Open[[#This Row],[TS SH O 23.04.22 Rang]],$AJ$16:$AK$111,2,0)*M$5," ")</f>
        <v xml:space="preserve"> </v>
      </c>
      <c r="N108" s="261" t="str">
        <f>IFERROR(VLOOKUP(Open[[#This Row],[TS LA O 08.05.22 Rang]],$AJ$16:$AK$111,2,0)*N$5," ")</f>
        <v xml:space="preserve"> </v>
      </c>
      <c r="O108" s="109" t="str">
        <f>IFERROR(VLOOKUP(Open[[#This Row],[TS SG O 25.05.22 Rang]],$AJ$16:$AK$111,2,0)*O$5," ")</f>
        <v xml:space="preserve"> </v>
      </c>
      <c r="P108" s="109">
        <f>IFERROR(VLOOKUP(Open[[#This Row],[TS SH O 25.06.22 Rang]],$AJ$16:$AK$111,2,0)*P$5," ")</f>
        <v>148</v>
      </c>
      <c r="Q108" s="109" t="str">
        <f>IFERROR(VLOOKUP(Open[[#This Row],[TS ZH O/A 25.06.22 Rang]],$AJ$16:$AK$111,2,0)*Q$5," ")</f>
        <v xml:space="preserve"> </v>
      </c>
      <c r="R108" s="109" t="str">
        <f>IFERROR(VLOOKUP(Open[[#This Row],[TS ZH O/B 25.06.22 Rang]],$AJ$16:$AK$111,2,0)*R$5," ")</f>
        <v xml:space="preserve"> </v>
      </c>
      <c r="S108" s="109" t="str">
        <f>IFERROR(VLOOKUP(Open[[#This Row],[SM BE O/A 09.07.22 Rang]],$AJ$16:$AK$111,2,0)*S$5," ")</f>
        <v xml:space="preserve"> </v>
      </c>
      <c r="T108" s="109" t="str">
        <f>IFERROR(VLOOKUP(Open[[#This Row],[SM BE O/B 09.07.22 Rang]],$AJ$16:$AK$111,2,0)*T$5," ")</f>
        <v xml:space="preserve"> </v>
      </c>
      <c r="U108" s="11">
        <v>0</v>
      </c>
      <c r="V108" s="11">
        <v>0</v>
      </c>
      <c r="W108" s="11">
        <v>0</v>
      </c>
      <c r="X108" s="263"/>
      <c r="Y108" s="262"/>
      <c r="Z108" s="262"/>
      <c r="AA108" s="191"/>
      <c r="AB108" s="191">
        <v>9</v>
      </c>
      <c r="AC108" s="191"/>
      <c r="AD108" s="191"/>
      <c r="AE108" s="191"/>
      <c r="AF108" s="191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BB108" s="4"/>
      <c r="BC108" s="4"/>
      <c r="BD108" s="4"/>
      <c r="BE108" s="4"/>
      <c r="BF108" s="4"/>
      <c r="BG108" s="4"/>
      <c r="BH108" s="4"/>
      <c r="BI108" s="4"/>
    </row>
    <row r="109" spans="1:61" x14ac:dyDescent="0.2">
      <c r="A109" s="258">
        <v>90</v>
      </c>
      <c r="B109" s="11">
        <f>IF(Open[[#This Row],[PR Rang beim letzten Turnier]]&gt;Open[[#This Row],[PR Rang]],1,IF(Open[[#This Row],[PR Rang beim letzten Turnier]]=Open[[#This Row],[PR Rang]],0,-1))</f>
        <v>-1</v>
      </c>
      <c r="C109" s="259">
        <f>RANK(Open[[#This Row],[PR Punkte]],Open[PR Punkte],0)</f>
        <v>97</v>
      </c>
      <c r="D109" s="264" t="s">
        <v>589</v>
      </c>
      <c r="E109" t="s">
        <v>18</v>
      </c>
      <c r="F109" s="260">
        <f>SUM(Open[[#This Row],[PR 1]:[PR 3]])</f>
        <v>148</v>
      </c>
      <c r="G109" s="109">
        <f>LARGE(Open[[#This Row],[TS SH O 22.02.22]:[PR3]],1)</f>
        <v>148</v>
      </c>
      <c r="H109" s="109">
        <f>LARGE(Open[[#This Row],[TS SH O 22.02.22]:[PR3]],2)</f>
        <v>0</v>
      </c>
      <c r="I109" s="109">
        <f>LARGE(Open[[#This Row],[TS SH O 22.02.22]:[PR3]],3)</f>
        <v>0</v>
      </c>
      <c r="J109" s="196">
        <f>RANK(K109,$K$7:$K$361,0)</f>
        <v>97</v>
      </c>
      <c r="K109" s="261">
        <f>SUM(L109:W109)</f>
        <v>148</v>
      </c>
      <c r="L109" s="261"/>
      <c r="M109" s="261" t="str">
        <f>IFERROR(VLOOKUP(Open[[#This Row],[TS SH O 23.04.22 Rang]],$AJ$16:$AK$111,2,0)*M$5," ")</f>
        <v xml:space="preserve"> </v>
      </c>
      <c r="N109" s="261" t="str">
        <f>IFERROR(VLOOKUP(Open[[#This Row],[TS LA O 08.05.22 Rang]],$AJ$16:$AK$111,2,0)*N$5," ")</f>
        <v xml:space="preserve"> </v>
      </c>
      <c r="O109" s="109" t="str">
        <f>IFERROR(VLOOKUP(Open[[#This Row],[TS SG O 25.05.22 Rang]],$AJ$16:$AK$111,2,0)*O$5," ")</f>
        <v xml:space="preserve"> </v>
      </c>
      <c r="P109" s="109">
        <f>IFERROR(VLOOKUP(Open[[#This Row],[TS SH O 25.06.22 Rang]],$AJ$16:$AK$111,2,0)*P$5," ")</f>
        <v>148</v>
      </c>
      <c r="Q109" s="109" t="str">
        <f>IFERROR(VLOOKUP(Open[[#This Row],[TS ZH O/A 25.06.22 Rang]],$AJ$16:$AK$111,2,0)*Q$5," ")</f>
        <v xml:space="preserve"> </v>
      </c>
      <c r="R109" s="109" t="str">
        <f>IFERROR(VLOOKUP(Open[[#This Row],[TS ZH O/B 25.06.22 Rang]],$AJ$16:$AK$111,2,0)*R$5," ")</f>
        <v xml:space="preserve"> </v>
      </c>
      <c r="S109" s="109" t="str">
        <f>IFERROR(VLOOKUP(Open[[#This Row],[SM BE O/A 09.07.22 Rang]],$AJ$16:$AK$111,2,0)*S$5," ")</f>
        <v xml:space="preserve"> </v>
      </c>
      <c r="T109" s="109" t="str">
        <f>IFERROR(VLOOKUP(Open[[#This Row],[SM BE O/B 09.07.22 Rang]],$AJ$16:$AK$111,2,0)*T$5," ")</f>
        <v xml:space="preserve"> </v>
      </c>
      <c r="U109" s="11">
        <v>0</v>
      </c>
      <c r="V109" s="11">
        <v>0</v>
      </c>
      <c r="W109" s="11">
        <v>0</v>
      </c>
      <c r="X109" s="263"/>
      <c r="Y109" s="262"/>
      <c r="Z109" s="262"/>
      <c r="AA109" s="191"/>
      <c r="AB109" s="191">
        <v>9</v>
      </c>
      <c r="AC109" s="191"/>
      <c r="AD109" s="191"/>
      <c r="AE109" s="191"/>
      <c r="AF109" s="191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BB109" s="4"/>
      <c r="BC109" s="4"/>
      <c r="BD109" s="4"/>
      <c r="BE109" s="4"/>
      <c r="BF109" s="4"/>
      <c r="BG109" s="4"/>
      <c r="BH109" s="4"/>
      <c r="BI109" s="4"/>
    </row>
    <row r="110" spans="1:61" x14ac:dyDescent="0.2">
      <c r="A110" s="258">
        <v>90</v>
      </c>
      <c r="B110" s="11">
        <f>IF(Open[[#This Row],[PR Rang beim letzten Turnier]]&gt;Open[[#This Row],[PR Rang]],1,IF(Open[[#This Row],[PR Rang beim letzten Turnier]]=Open[[#This Row],[PR Rang]],0,-1))</f>
        <v>-1</v>
      </c>
      <c r="C110" s="259">
        <f>RANK(Open[[#This Row],[PR Punkte]],Open[PR Punkte],0)</f>
        <v>97</v>
      </c>
      <c r="D110" s="264" t="s">
        <v>590</v>
      </c>
      <c r="E110" t="s">
        <v>11</v>
      </c>
      <c r="F110" s="260">
        <f>SUM(Open[[#This Row],[PR 1]:[PR 3]])</f>
        <v>148</v>
      </c>
      <c r="G110" s="109">
        <f>LARGE(Open[[#This Row],[TS SH O 22.02.22]:[PR3]],1)</f>
        <v>148</v>
      </c>
      <c r="H110" s="109">
        <f>LARGE(Open[[#This Row],[TS SH O 22.02.22]:[PR3]],2)</f>
        <v>0</v>
      </c>
      <c r="I110" s="109">
        <f>LARGE(Open[[#This Row],[TS SH O 22.02.22]:[PR3]],3)</f>
        <v>0</v>
      </c>
      <c r="J110" s="196">
        <f>RANK(K110,$K$7:$K$361,0)</f>
        <v>97</v>
      </c>
      <c r="K110" s="261">
        <f>SUM(L110:W110)</f>
        <v>148</v>
      </c>
      <c r="L110" s="261"/>
      <c r="M110" s="261" t="str">
        <f>IFERROR(VLOOKUP(Open[[#This Row],[TS SH O 23.04.22 Rang]],$AJ$16:$AK$111,2,0)*M$5," ")</f>
        <v xml:space="preserve"> </v>
      </c>
      <c r="N110" s="261" t="str">
        <f>IFERROR(VLOOKUP(Open[[#This Row],[TS LA O 08.05.22 Rang]],$AJ$16:$AK$111,2,0)*N$5," ")</f>
        <v xml:space="preserve"> </v>
      </c>
      <c r="O110" s="109" t="str">
        <f>IFERROR(VLOOKUP(Open[[#This Row],[TS SG O 25.05.22 Rang]],$AJ$16:$AK$111,2,0)*O$5," ")</f>
        <v xml:space="preserve"> </v>
      </c>
      <c r="P110" s="109">
        <f>IFERROR(VLOOKUP(Open[[#This Row],[TS SH O 25.06.22 Rang]],$AJ$16:$AK$111,2,0)*P$5," ")</f>
        <v>148</v>
      </c>
      <c r="Q110" s="109" t="str">
        <f>IFERROR(VLOOKUP(Open[[#This Row],[TS ZH O/A 25.06.22 Rang]],$AJ$16:$AK$111,2,0)*Q$5," ")</f>
        <v xml:space="preserve"> </v>
      </c>
      <c r="R110" s="109" t="str">
        <f>IFERROR(VLOOKUP(Open[[#This Row],[TS ZH O/B 25.06.22 Rang]],$AJ$16:$AK$111,2,0)*R$5," ")</f>
        <v xml:space="preserve"> </v>
      </c>
      <c r="S110" s="109" t="str">
        <f>IFERROR(VLOOKUP(Open[[#This Row],[SM BE O/A 09.07.22 Rang]],$AJ$16:$AK$111,2,0)*S$5," ")</f>
        <v xml:space="preserve"> </v>
      </c>
      <c r="T110" s="109" t="str">
        <f>IFERROR(VLOOKUP(Open[[#This Row],[SM BE O/B 09.07.22 Rang]],$AJ$16:$AK$111,2,0)*T$5," ")</f>
        <v xml:space="preserve"> </v>
      </c>
      <c r="U110" s="11">
        <v>0</v>
      </c>
      <c r="V110" s="11">
        <v>0</v>
      </c>
      <c r="W110" s="11">
        <v>0</v>
      </c>
      <c r="X110" s="263"/>
      <c r="Y110" s="262"/>
      <c r="Z110" s="262"/>
      <c r="AA110" s="191"/>
      <c r="AB110" s="191">
        <v>16</v>
      </c>
      <c r="AC110" s="191"/>
      <c r="AD110" s="191"/>
      <c r="AE110" s="191"/>
      <c r="AF110" s="191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BB110" s="4"/>
      <c r="BC110" s="4"/>
      <c r="BD110" s="4"/>
      <c r="BE110" s="4"/>
      <c r="BF110" s="4"/>
      <c r="BG110" s="4"/>
      <c r="BH110" s="4"/>
      <c r="BI110" s="4"/>
    </row>
    <row r="111" spans="1:61" x14ac:dyDescent="0.2">
      <c r="A111" s="86">
        <v>100</v>
      </c>
      <c r="B111" s="11">
        <f>IF(Open[[#This Row],[PR Rang beim letzten Turnier]]&gt;Open[[#This Row],[PR Rang]],1,IF(Open[[#This Row],[PR Rang beim letzten Turnier]]=Open[[#This Row],[PR Rang]],0,-1))</f>
        <v>-1</v>
      </c>
      <c r="C111" s="194">
        <f>RANK(Open[[#This Row],[PR Punkte]],Open[PR Punkte],0)</f>
        <v>105</v>
      </c>
      <c r="D111" s="33" t="s">
        <v>609</v>
      </c>
      <c r="E111" s="11" t="s">
        <v>11</v>
      </c>
      <c r="F111" s="195">
        <f>SUM(Open[[#This Row],[PR 1]:[PR 3]])</f>
        <v>142</v>
      </c>
      <c r="G111" s="109">
        <f>LARGE(Open[[#This Row],[TS SH O 22.02.22]:[PR3]],1)</f>
        <v>142</v>
      </c>
      <c r="H111" s="109">
        <f>LARGE(Open[[#This Row],[TS SH O 22.02.22]:[PR3]],2)</f>
        <v>0</v>
      </c>
      <c r="I111" s="109">
        <f>LARGE(Open[[#This Row],[TS SH O 22.02.22]:[PR3]],3)</f>
        <v>0</v>
      </c>
      <c r="J111" s="196">
        <f>RANK(K111,$K$7:$K$361,0)</f>
        <v>105</v>
      </c>
      <c r="K111" s="109">
        <f>SUM(L111:W111)</f>
        <v>142</v>
      </c>
      <c r="L111" s="109"/>
      <c r="M111" s="109" t="str">
        <f>IFERROR(VLOOKUP(Open[[#This Row],[TS SH O 23.04.22 Rang]],$AJ$16:$AK$111,2,0)*M$5," ")</f>
        <v xml:space="preserve"> </v>
      </c>
      <c r="N111" s="109" t="str">
        <f>IFERROR(VLOOKUP(Open[[#This Row],[TS LA O 08.05.22 Rang]],$AJ$16:$AK$111,2,0)*N$5," ")</f>
        <v xml:space="preserve"> </v>
      </c>
      <c r="O111" s="109" t="str">
        <f>IFERROR(VLOOKUP(Open[[#This Row],[TS SG O 25.05.22 Rang]],$AJ$16:$AK$111,2,0)*O$5," ")</f>
        <v xml:space="preserve"> </v>
      </c>
      <c r="P111" s="109" t="str">
        <f>IFERROR(VLOOKUP(Open[[#This Row],[TS SH O 25.06.22 Rang]],$AJ$16:$AK$111,2,0)*P$5," ")</f>
        <v xml:space="preserve"> </v>
      </c>
      <c r="Q111" s="109">
        <f>IFERROR(VLOOKUP(Open[[#This Row],[TS ZH O/A 25.06.22 Rang]],$AJ$16:$AK$111,2,0)*Q$5," ")</f>
        <v>142</v>
      </c>
      <c r="R111" s="109" t="str">
        <f>IFERROR(VLOOKUP(Open[[#This Row],[TS ZH O/B 25.06.22 Rang]],$AJ$16:$AK$111,2,0)*R$5," ")</f>
        <v xml:space="preserve"> </v>
      </c>
      <c r="S111" s="109" t="str">
        <f>IFERROR(VLOOKUP(Open[[#This Row],[SM BE O/A 09.07.22 Rang]],$AJ$16:$AK$111,2,0)*S$5," ")</f>
        <v xml:space="preserve"> </v>
      </c>
      <c r="T111" s="109" t="str">
        <f>IFERROR(VLOOKUP(Open[[#This Row],[SM BE O/B 09.07.22 Rang]],$AJ$16:$AK$111,2,0)*T$5," ")</f>
        <v xml:space="preserve"> </v>
      </c>
      <c r="U111" s="11">
        <v>0</v>
      </c>
      <c r="V111" s="11">
        <v>0</v>
      </c>
      <c r="W111" s="11">
        <v>0</v>
      </c>
      <c r="X111" s="129"/>
      <c r="Y111" s="191"/>
      <c r="Z111" s="191"/>
      <c r="AA111" s="191"/>
      <c r="AB111" s="191"/>
      <c r="AC111" s="191">
        <v>16</v>
      </c>
      <c r="AD111" s="191"/>
      <c r="AE111" s="191"/>
      <c r="AF111" s="191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BB111" s="4"/>
      <c r="BC111" s="4"/>
      <c r="BD111" s="4"/>
      <c r="BE111" s="4"/>
      <c r="BF111" s="4"/>
      <c r="BG111" s="4"/>
      <c r="BH111" s="4"/>
      <c r="BI111" s="4"/>
    </row>
    <row r="112" spans="1:61" x14ac:dyDescent="0.2">
      <c r="A112" s="258">
        <v>103</v>
      </c>
      <c r="B112" s="258">
        <f>IF(Open[[#This Row],[PR Rang beim letzten Turnier]]&gt;Open[[#This Row],[PR Rang]],1,IF(Open[[#This Row],[PR Rang beim letzten Turnier]]=Open[[#This Row],[PR Rang]],0,-1))</f>
        <v>-1</v>
      </c>
      <c r="C112" s="259">
        <f>RANK(Open[[#This Row],[PR Punkte]],Open[PR Punkte],0)</f>
        <v>106</v>
      </c>
      <c r="D112" s="264" t="s">
        <v>594</v>
      </c>
      <c r="E112" t="s">
        <v>10</v>
      </c>
      <c r="F112" s="260">
        <f>SUM(Open[[#This Row],[PR 1]:[PR 3]])</f>
        <v>114.4</v>
      </c>
      <c r="G112" s="109">
        <f>LARGE(Open[[#This Row],[TS SH O 22.02.22]:[PR3]],1)</f>
        <v>70</v>
      </c>
      <c r="H112" s="109">
        <f>LARGE(Open[[#This Row],[TS SH O 22.02.22]:[PR3]],2)</f>
        <v>44.4</v>
      </c>
      <c r="I112" s="109">
        <f>LARGE(Open[[#This Row],[TS SH O 22.02.22]:[PR3]],3)</f>
        <v>0</v>
      </c>
      <c r="J112" s="196">
        <f>RANK(K112,$K$7:$K$361,0)</f>
        <v>106</v>
      </c>
      <c r="K112" s="261">
        <f>SUM(L112:W112)</f>
        <v>114.4</v>
      </c>
      <c r="L112" s="261"/>
      <c r="M112" s="261" t="str">
        <f>IFERROR(VLOOKUP(Open[[#This Row],[TS SH O 23.04.22 Rang]],$AJ$16:$AK$111,2,0)*M$5," ")</f>
        <v xml:space="preserve"> </v>
      </c>
      <c r="N112" s="261" t="str">
        <f>IFERROR(VLOOKUP(Open[[#This Row],[TS LA O 08.05.22 Rang]],$AJ$16:$AK$111,2,0)*N$5," ")</f>
        <v xml:space="preserve"> </v>
      </c>
      <c r="O112" s="109" t="str">
        <f>IFERROR(VLOOKUP(Open[[#This Row],[TS SG O 25.05.22 Rang]],$AJ$16:$AK$111,2,0)*O$5," ")</f>
        <v xml:space="preserve"> </v>
      </c>
      <c r="P112" s="109">
        <f>IFERROR(VLOOKUP(Open[[#This Row],[TS SH O 25.06.22 Rang]],$AJ$16:$AK$111,2,0)*P$5," ")</f>
        <v>44.4</v>
      </c>
      <c r="Q112" s="109" t="str">
        <f>IFERROR(VLOOKUP(Open[[#This Row],[TS ZH O/A 25.06.22 Rang]],$AJ$16:$AK$111,2,0)*Q$5," ")</f>
        <v xml:space="preserve"> </v>
      </c>
      <c r="R112" s="109">
        <f>IFERROR(VLOOKUP(Open[[#This Row],[TS ZH O/B 25.06.22 Rang]],$AJ$16:$AK$111,2,0)*R$5," ")</f>
        <v>70</v>
      </c>
      <c r="S112" s="109" t="str">
        <f>IFERROR(VLOOKUP(Open[[#This Row],[SM BE O/A 09.07.22 Rang]],$AJ$16:$AK$111,2,0)*S$5," ")</f>
        <v xml:space="preserve"> </v>
      </c>
      <c r="T112" s="109" t="str">
        <f>IFERROR(VLOOKUP(Open[[#This Row],[SM BE O/B 09.07.22 Rang]],$AJ$16:$AK$111,2,0)*T$5," ")</f>
        <v xml:space="preserve"> </v>
      </c>
      <c r="U112" s="11">
        <v>0</v>
      </c>
      <c r="V112" s="11">
        <v>0</v>
      </c>
      <c r="W112" s="11">
        <v>0</v>
      </c>
      <c r="X112" s="263"/>
      <c r="Y112" s="262"/>
      <c r="Z112" s="262"/>
      <c r="AA112" s="191"/>
      <c r="AB112" s="191">
        <v>24</v>
      </c>
      <c r="AC112" s="191"/>
      <c r="AD112" s="191">
        <v>3</v>
      </c>
      <c r="AE112" s="191"/>
      <c r="AF112" s="191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BB112" s="4"/>
      <c r="BC112" s="4"/>
      <c r="BD112" s="4"/>
      <c r="BE112" s="4"/>
      <c r="BF112" s="4"/>
      <c r="BG112" s="4"/>
      <c r="BH112" s="4"/>
      <c r="BI112" s="4"/>
    </row>
    <row r="113" spans="1:61" x14ac:dyDescent="0.2">
      <c r="A113" s="258">
        <v>103</v>
      </c>
      <c r="B113" s="258">
        <f>IF(Open[[#This Row],[PR Rang beim letzten Turnier]]&gt;Open[[#This Row],[PR Rang]],1,IF(Open[[#This Row],[PR Rang beim letzten Turnier]]=Open[[#This Row],[PR Rang]],0,-1))</f>
        <v>-1</v>
      </c>
      <c r="C113" s="259">
        <f>RANK(Open[[#This Row],[PR Punkte]],Open[PR Punkte],0)</f>
        <v>106</v>
      </c>
      <c r="D113" s="264" t="s">
        <v>595</v>
      </c>
      <c r="E113" t="s">
        <v>10</v>
      </c>
      <c r="F113" s="260">
        <f>SUM(Open[[#This Row],[PR 1]:[PR 3]])</f>
        <v>114.4</v>
      </c>
      <c r="G113" s="109">
        <f>LARGE(Open[[#This Row],[TS SH O 22.02.22]:[PR3]],1)</f>
        <v>70</v>
      </c>
      <c r="H113" s="109">
        <f>LARGE(Open[[#This Row],[TS SH O 22.02.22]:[PR3]],2)</f>
        <v>44.4</v>
      </c>
      <c r="I113" s="109">
        <f>LARGE(Open[[#This Row],[TS SH O 22.02.22]:[PR3]],3)</f>
        <v>0</v>
      </c>
      <c r="J113" s="196">
        <f>RANK(K113,$K$7:$K$361,0)</f>
        <v>106</v>
      </c>
      <c r="K113" s="261">
        <f>SUM(L113:W113)</f>
        <v>114.4</v>
      </c>
      <c r="L113" s="261"/>
      <c r="M113" s="261" t="str">
        <f>IFERROR(VLOOKUP(Open[[#This Row],[TS SH O 23.04.22 Rang]],$AJ$16:$AK$111,2,0)*M$5," ")</f>
        <v xml:space="preserve"> </v>
      </c>
      <c r="N113" s="261" t="str">
        <f>IFERROR(VLOOKUP(Open[[#This Row],[TS LA O 08.05.22 Rang]],$AJ$16:$AK$111,2,0)*N$5," ")</f>
        <v xml:space="preserve"> </v>
      </c>
      <c r="O113" s="109" t="str">
        <f>IFERROR(VLOOKUP(Open[[#This Row],[TS SG O 25.05.22 Rang]],$AJ$16:$AK$111,2,0)*O$5," ")</f>
        <v xml:space="preserve"> </v>
      </c>
      <c r="P113" s="109">
        <f>IFERROR(VLOOKUP(Open[[#This Row],[TS SH O 25.06.22 Rang]],$AJ$16:$AK$111,2,0)*P$5," ")</f>
        <v>44.4</v>
      </c>
      <c r="Q113" s="109" t="str">
        <f>IFERROR(VLOOKUP(Open[[#This Row],[TS ZH O/A 25.06.22 Rang]],$AJ$16:$AK$111,2,0)*Q$5," ")</f>
        <v xml:space="preserve"> </v>
      </c>
      <c r="R113" s="109">
        <f>IFERROR(VLOOKUP(Open[[#This Row],[TS ZH O/B 25.06.22 Rang]],$AJ$16:$AK$111,2,0)*R$5," ")</f>
        <v>70</v>
      </c>
      <c r="S113" s="109" t="str">
        <f>IFERROR(VLOOKUP(Open[[#This Row],[SM BE O/A 09.07.22 Rang]],$AJ$16:$AK$111,2,0)*S$5," ")</f>
        <v xml:space="preserve"> </v>
      </c>
      <c r="T113" s="109" t="str">
        <f>IFERROR(VLOOKUP(Open[[#This Row],[SM BE O/B 09.07.22 Rang]],$AJ$16:$AK$111,2,0)*T$5," ")</f>
        <v xml:space="preserve"> </v>
      </c>
      <c r="U113" s="11">
        <v>0</v>
      </c>
      <c r="V113" s="11">
        <v>0</v>
      </c>
      <c r="W113" s="11">
        <v>0</v>
      </c>
      <c r="X113" s="263"/>
      <c r="Y113" s="262"/>
      <c r="Z113" s="262"/>
      <c r="AA113" s="191"/>
      <c r="AB113" s="191">
        <v>24</v>
      </c>
      <c r="AC113" s="191"/>
      <c r="AD113" s="191">
        <v>3</v>
      </c>
      <c r="AE113" s="191"/>
      <c r="AF113" s="191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BB113" s="4"/>
      <c r="BC113" s="4"/>
      <c r="BD113" s="4"/>
      <c r="BE113" s="4"/>
      <c r="BF113" s="4"/>
      <c r="BG113" s="4"/>
      <c r="BH113" s="4"/>
      <c r="BI113" s="4"/>
    </row>
    <row r="114" spans="1:61" x14ac:dyDescent="0.2">
      <c r="A114" s="86">
        <v>173</v>
      </c>
      <c r="B114" s="11">
        <f>IF(Open[[#This Row],[PR Rang beim letzten Turnier]]&gt;Open[[#This Row],[PR Rang]],1,IF(Open[[#This Row],[PR Rang beim letzten Turnier]]=Open[[#This Row],[PR Rang]],0,-1))</f>
        <v>1</v>
      </c>
      <c r="C114" s="194">
        <f>RANK(Open[[#This Row],[PR Punkte]],Open[PR Punkte],0)</f>
        <v>108</v>
      </c>
      <c r="D114" s="33" t="s">
        <v>645</v>
      </c>
      <c r="E114" s="11" t="s">
        <v>8</v>
      </c>
      <c r="F114" s="195">
        <f>SUM(Open[[#This Row],[PR 1]:[PR 3]])</f>
        <v>110</v>
      </c>
      <c r="G114" s="109">
        <f>LARGE(Open[[#This Row],[TS SH O 22.02.22]:[PR3]],1)</f>
        <v>110</v>
      </c>
      <c r="H114" s="109">
        <f>LARGE(Open[[#This Row],[TS SH O 22.02.22]:[PR3]],2)</f>
        <v>0</v>
      </c>
      <c r="I114" s="109">
        <f>LARGE(Open[[#This Row],[TS SH O 22.02.22]:[PR3]],3)</f>
        <v>0</v>
      </c>
      <c r="J114" s="196">
        <f>RANK(K114,$K$7:$K$361,0)</f>
        <v>108</v>
      </c>
      <c r="K114" s="109">
        <f>SUM(L114:W114)</f>
        <v>110</v>
      </c>
      <c r="L114" s="109"/>
      <c r="M114" s="109" t="str">
        <f>IFERROR(VLOOKUP(Open[[#This Row],[TS SH O 23.04.22 Rang]],$AJ$16:$AK$111,2,0)*M$5," ")</f>
        <v xml:space="preserve"> </v>
      </c>
      <c r="N114" s="109" t="str">
        <f>IFERROR(VLOOKUP(Open[[#This Row],[TS LA O 08.05.22 Rang]],$AJ$16:$AK$111,2,0)*N$5," ")</f>
        <v xml:space="preserve"> </v>
      </c>
      <c r="O114" s="109" t="str">
        <f>IFERROR(VLOOKUP(Open[[#This Row],[TS SG O 25.05.22 Rang]],$AJ$16:$AK$111,2,0)*O$5," ")</f>
        <v xml:space="preserve"> </v>
      </c>
      <c r="P114" s="109" t="str">
        <f>IFERROR(VLOOKUP(Open[[#This Row],[TS SH O 25.06.22 Rang]],$AJ$16:$AK$111,2,0)*P$5," ")</f>
        <v xml:space="preserve"> </v>
      </c>
      <c r="Q114" s="109" t="str">
        <f>IFERROR(VLOOKUP(Open[[#This Row],[TS ZH O/A 25.06.22 Rang]],$AJ$16:$AK$111,2,0)*Q$5," ")</f>
        <v xml:space="preserve"> </v>
      </c>
      <c r="R114" s="109" t="str">
        <f>IFERROR(VLOOKUP(Open[[#This Row],[TS ZH O/B 25.06.22 Rang]],$AJ$16:$AK$111,2,0)*R$5," ")</f>
        <v xml:space="preserve"> </v>
      </c>
      <c r="S114" s="109" t="str">
        <f>IFERROR(VLOOKUP(Open[[#This Row],[SM BE O/A 09.07.22 Rang]],$AJ$16:$AK$111,2,0)*S$5," ")</f>
        <v xml:space="preserve"> </v>
      </c>
      <c r="T114" s="109">
        <f>IFERROR(VLOOKUP(Open[[#This Row],[SM BE O/B 09.07.22 Rang]],$AJ$16:$AK$111,2,0)*T$5," ")</f>
        <v>110</v>
      </c>
      <c r="U114" s="11">
        <v>0</v>
      </c>
      <c r="V114" s="11">
        <v>0</v>
      </c>
      <c r="W114" s="11">
        <v>0</v>
      </c>
      <c r="X114" s="129"/>
      <c r="Y114" s="191"/>
      <c r="Z114" s="191"/>
      <c r="AA114" s="191"/>
      <c r="AB114" s="191"/>
      <c r="AC114" s="191"/>
      <c r="AD114" s="191"/>
      <c r="AE114" s="191"/>
      <c r="AF114" s="191">
        <v>1</v>
      </c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BB114" s="4"/>
      <c r="BC114" s="4"/>
      <c r="BD114" s="4"/>
      <c r="BE114" s="4"/>
      <c r="BF114" s="4"/>
      <c r="BG114" s="4"/>
      <c r="BH114" s="4"/>
      <c r="BI114" s="4"/>
    </row>
    <row r="115" spans="1:61" x14ac:dyDescent="0.2">
      <c r="A115" s="86">
        <v>105</v>
      </c>
      <c r="B115" s="11">
        <f>IF(Open[[#This Row],[PR Rang beim letzten Turnier]]&gt;Open[[#This Row],[PR Rang]],1,IF(Open[[#This Row],[PR Rang beim letzten Turnier]]=Open[[#This Row],[PR Rang]],0,-1))</f>
        <v>-1</v>
      </c>
      <c r="C115" s="194">
        <f>RANK(Open[[#This Row],[PR Punkte]],Open[PR Punkte],0)</f>
        <v>108</v>
      </c>
      <c r="D115" s="33" t="s">
        <v>612</v>
      </c>
      <c r="E115" s="11" t="s">
        <v>11</v>
      </c>
      <c r="F115" s="195">
        <f>SUM(Open[[#This Row],[PR 1]:[PR 3]])</f>
        <v>110</v>
      </c>
      <c r="G115" s="109">
        <f>LARGE(Open[[#This Row],[TS SH O 22.02.22]:[PR3]],1)</f>
        <v>110</v>
      </c>
      <c r="H115" s="109">
        <f>LARGE(Open[[#This Row],[TS SH O 22.02.22]:[PR3]],2)</f>
        <v>0</v>
      </c>
      <c r="I115" s="109">
        <f>LARGE(Open[[#This Row],[TS SH O 22.02.22]:[PR3]],3)</f>
        <v>0</v>
      </c>
      <c r="J115" s="196">
        <f>RANK(K115,$K$7:$K$361,0)</f>
        <v>108</v>
      </c>
      <c r="K115" s="109">
        <f>SUM(L115:W115)</f>
        <v>110</v>
      </c>
      <c r="L115" s="109"/>
      <c r="M115" s="109" t="str">
        <f>IFERROR(VLOOKUP(Open[[#This Row],[TS SH O 23.04.22 Rang]],$AJ$16:$AK$111,2,0)*M$5," ")</f>
        <v xml:space="preserve"> </v>
      </c>
      <c r="N115" s="109" t="str">
        <f>IFERROR(VLOOKUP(Open[[#This Row],[TS LA O 08.05.22 Rang]],$AJ$16:$AK$111,2,0)*N$5," ")</f>
        <v xml:space="preserve"> </v>
      </c>
      <c r="O115" s="109" t="str">
        <f>IFERROR(VLOOKUP(Open[[#This Row],[TS SG O 25.05.22 Rang]],$AJ$16:$AK$111,2,0)*O$5," ")</f>
        <v xml:space="preserve"> </v>
      </c>
      <c r="P115" s="109" t="str">
        <f>IFERROR(VLOOKUP(Open[[#This Row],[TS SH O 25.06.22 Rang]],$AJ$16:$AK$111,2,0)*P$5," ")</f>
        <v xml:space="preserve"> </v>
      </c>
      <c r="Q115" s="109" t="str">
        <f>IFERROR(VLOOKUP(Open[[#This Row],[TS ZH O/A 25.06.22 Rang]],$AJ$16:$AK$111,2,0)*Q$5," ")</f>
        <v xml:space="preserve"> </v>
      </c>
      <c r="R115" s="109">
        <f>IFERROR(VLOOKUP(Open[[#This Row],[TS ZH O/B 25.06.22 Rang]],$AJ$16:$AK$111,2,0)*R$5," ")</f>
        <v>110</v>
      </c>
      <c r="S115" s="109" t="str">
        <f>IFERROR(VLOOKUP(Open[[#This Row],[SM BE O/A 09.07.22 Rang]],$AJ$16:$AK$111,2,0)*S$5," ")</f>
        <v xml:space="preserve"> </v>
      </c>
      <c r="T115" s="109" t="str">
        <f>IFERROR(VLOOKUP(Open[[#This Row],[SM BE O/B 09.07.22 Rang]],$AJ$16:$AK$111,2,0)*T$5," ")</f>
        <v xml:space="preserve"> </v>
      </c>
      <c r="U115" s="11">
        <v>0</v>
      </c>
      <c r="V115" s="11">
        <v>0</v>
      </c>
      <c r="W115" s="11">
        <v>0</v>
      </c>
      <c r="X115" s="129"/>
      <c r="Y115" s="191"/>
      <c r="Z115" s="191"/>
      <c r="AA115" s="191"/>
      <c r="AB115" s="191"/>
      <c r="AC115" s="191"/>
      <c r="AD115" s="191">
        <v>1</v>
      </c>
      <c r="AE115" s="191"/>
      <c r="AF115" s="191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BB115" s="4"/>
      <c r="BC115" s="4"/>
      <c r="BD115" s="4"/>
      <c r="BE115" s="4"/>
      <c r="BF115" s="4"/>
      <c r="BG115" s="4"/>
      <c r="BH115" s="4"/>
      <c r="BI115" s="4"/>
    </row>
    <row r="116" spans="1:61" x14ac:dyDescent="0.2">
      <c r="A116" s="86">
        <v>105</v>
      </c>
      <c r="B116" s="11">
        <f>IF(Open[[#This Row],[PR Rang beim letzten Turnier]]&gt;Open[[#This Row],[PR Rang]],1,IF(Open[[#This Row],[PR Rang beim letzten Turnier]]=Open[[#This Row],[PR Rang]],0,-1))</f>
        <v>-1</v>
      </c>
      <c r="C116" s="194">
        <f>RANK(Open[[#This Row],[PR Punkte]],Open[PR Punkte],0)</f>
        <v>108</v>
      </c>
      <c r="D116" s="33" t="s">
        <v>613</v>
      </c>
      <c r="E116" s="11" t="s">
        <v>11</v>
      </c>
      <c r="F116" s="195">
        <f>SUM(Open[[#This Row],[PR 1]:[PR 3]])</f>
        <v>110</v>
      </c>
      <c r="G116" s="109">
        <f>LARGE(Open[[#This Row],[TS SH O 22.02.22]:[PR3]],1)</f>
        <v>110</v>
      </c>
      <c r="H116" s="109">
        <f>LARGE(Open[[#This Row],[TS SH O 22.02.22]:[PR3]],2)</f>
        <v>0</v>
      </c>
      <c r="I116" s="109">
        <f>LARGE(Open[[#This Row],[TS SH O 22.02.22]:[PR3]],3)</f>
        <v>0</v>
      </c>
      <c r="J116" s="196">
        <f>RANK(K116,$K$7:$K$361,0)</f>
        <v>108</v>
      </c>
      <c r="K116" s="109">
        <f>SUM(L116:W116)</f>
        <v>110</v>
      </c>
      <c r="L116" s="109"/>
      <c r="M116" s="109" t="str">
        <f>IFERROR(VLOOKUP(Open[[#This Row],[TS SH O 23.04.22 Rang]],$AJ$16:$AK$111,2,0)*M$5," ")</f>
        <v xml:space="preserve"> </v>
      </c>
      <c r="N116" s="109" t="str">
        <f>IFERROR(VLOOKUP(Open[[#This Row],[TS LA O 08.05.22 Rang]],$AJ$16:$AK$111,2,0)*N$5," ")</f>
        <v xml:space="preserve"> </v>
      </c>
      <c r="O116" s="109" t="str">
        <f>IFERROR(VLOOKUP(Open[[#This Row],[TS SG O 25.05.22 Rang]],$AJ$16:$AK$111,2,0)*O$5," ")</f>
        <v xml:space="preserve"> </v>
      </c>
      <c r="P116" s="109" t="str">
        <f>IFERROR(VLOOKUP(Open[[#This Row],[TS SH O 25.06.22 Rang]],$AJ$16:$AK$111,2,0)*P$5," ")</f>
        <v xml:space="preserve"> </v>
      </c>
      <c r="Q116" s="109" t="str">
        <f>IFERROR(VLOOKUP(Open[[#This Row],[TS ZH O/A 25.06.22 Rang]],$AJ$16:$AK$111,2,0)*Q$5," ")</f>
        <v xml:space="preserve"> </v>
      </c>
      <c r="R116" s="109">
        <f>IFERROR(VLOOKUP(Open[[#This Row],[TS ZH O/B 25.06.22 Rang]],$AJ$16:$AK$111,2,0)*R$5," ")</f>
        <v>110</v>
      </c>
      <c r="S116" s="109" t="str">
        <f>IFERROR(VLOOKUP(Open[[#This Row],[SM BE O/A 09.07.22 Rang]],$AJ$16:$AK$111,2,0)*S$5," ")</f>
        <v xml:space="preserve"> </v>
      </c>
      <c r="T116" s="109" t="str">
        <f>IFERROR(VLOOKUP(Open[[#This Row],[SM BE O/B 09.07.22 Rang]],$AJ$16:$AK$111,2,0)*T$5," ")</f>
        <v xml:space="preserve"> </v>
      </c>
      <c r="U116" s="11">
        <v>0</v>
      </c>
      <c r="V116" s="11">
        <v>0</v>
      </c>
      <c r="W116" s="11">
        <v>0</v>
      </c>
      <c r="X116" s="129"/>
      <c r="Y116" s="191"/>
      <c r="Z116" s="191"/>
      <c r="AA116" s="191"/>
      <c r="AB116" s="191"/>
      <c r="AC116" s="191"/>
      <c r="AD116" s="191">
        <v>1</v>
      </c>
      <c r="AE116" s="191"/>
      <c r="AF116" s="191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BB116" s="4"/>
      <c r="BC116" s="4"/>
      <c r="BD116" s="4"/>
      <c r="BE116" s="4"/>
      <c r="BF116" s="4"/>
      <c r="BG116" s="4"/>
      <c r="BH116" s="4"/>
      <c r="BI116" s="4"/>
    </row>
    <row r="117" spans="1:61" x14ac:dyDescent="0.2">
      <c r="A117" s="11">
        <v>166</v>
      </c>
      <c r="B117" s="11">
        <f>IF(Open[[#This Row],[PR Rang beim letzten Turnier]]&gt;Open[[#This Row],[PR Rang]],1,IF(Open[[#This Row],[PR Rang beim letzten Turnier]]=Open[[#This Row],[PR Rang]],0,-1))</f>
        <v>1</v>
      </c>
      <c r="C117" s="147">
        <f>RANK(Open[[#This Row],[PR Punkte]],Open[PR Punkte],0)</f>
        <v>111</v>
      </c>
      <c r="D117" s="25" t="s">
        <v>337</v>
      </c>
      <c r="E117" s="160" t="s">
        <v>8</v>
      </c>
      <c r="F117" s="109">
        <f>SUM(Open[[#This Row],[PR 1]:[PR 3]])</f>
        <v>105</v>
      </c>
      <c r="G117" s="109">
        <f>LARGE(Open[[#This Row],[TS SH O 22.02.22]:[PR3]],1)</f>
        <v>62.400000000000006</v>
      </c>
      <c r="H117" s="109">
        <f>LARGE(Open[[#This Row],[TS SH O 22.02.22]:[PR3]],2)</f>
        <v>42.599999999999994</v>
      </c>
      <c r="I117" s="109">
        <f>LARGE(Open[[#This Row],[TS SH O 22.02.22]:[PR3]],3)</f>
        <v>0</v>
      </c>
      <c r="J117" s="160">
        <f>RANK(K117,$K$7:$K$295,0)</f>
        <v>111</v>
      </c>
      <c r="K117" s="109">
        <f>SUM(L117:W117)</f>
        <v>105</v>
      </c>
      <c r="L117" s="109" t="str">
        <f>IFERROR(VLOOKUP(Open[[#This Row],[TS SH 22.02.22 Rang]],$AJ$16:$AK$111,2,0)*L$5," ")</f>
        <v xml:space="preserve"> </v>
      </c>
      <c r="M117" s="109" t="str">
        <f>IFERROR(VLOOKUP(Open[[#This Row],[TS SH O 23.04.22 Rang]],$AJ$16:$AK$111,2,0)*M$5," ")</f>
        <v xml:space="preserve"> </v>
      </c>
      <c r="N117" s="109" t="str">
        <f>IFERROR(VLOOKUP(Open[[#This Row],[TS LA O 08.05.22 Rang]],$AJ$16:$AK$111,2,0)*N$5," ")</f>
        <v xml:space="preserve"> </v>
      </c>
      <c r="O117" s="109" t="str">
        <f>IFERROR(VLOOKUP(Open[[#This Row],[TS SG O 25.05.22 Rang]],$AJ$16:$AK$111,2,0)*O$5," ")</f>
        <v xml:space="preserve"> </v>
      </c>
      <c r="P117" s="109" t="str">
        <f>IFERROR(VLOOKUP(Open[[#This Row],[TS SH O 25.06.22 Rang]],$AJ$16:$AK$111,2,0)*P$5," ")</f>
        <v xml:space="preserve"> </v>
      </c>
      <c r="Q117" s="109">
        <f>IFERROR(VLOOKUP(Open[[#This Row],[TS ZH O/A 25.06.22 Rang]],$AJ$16:$AK$111,2,0)*Q$5," ")</f>
        <v>42.599999999999994</v>
      </c>
      <c r="R117" s="109" t="str">
        <f>IFERROR(VLOOKUP(Open[[#This Row],[TS ZH O/B 25.06.22 Rang]],$AJ$16:$AK$111,2,0)*R$5," ")</f>
        <v xml:space="preserve"> </v>
      </c>
      <c r="S117" s="109">
        <f>IFERROR(VLOOKUP(Open[[#This Row],[SM BE O/A 09.07.22 Rang]],$AJ$16:$AK$111,2,0)*S$5," ")</f>
        <v>62.400000000000006</v>
      </c>
      <c r="T117" s="109" t="str">
        <f>IFERROR(VLOOKUP(Open[[#This Row],[SM BE O/B 09.07.22 Rang]],$AJ$16:$AK$111,2,0)*T$5," ")</f>
        <v xml:space="preserve"> </v>
      </c>
      <c r="U117" s="11">
        <v>0</v>
      </c>
      <c r="V117" s="11">
        <v>0</v>
      </c>
      <c r="W117" s="11">
        <v>0</v>
      </c>
      <c r="X117" s="129"/>
      <c r="Y117" s="191"/>
      <c r="Z117" s="191"/>
      <c r="AA117" s="191"/>
      <c r="AB117" s="191"/>
      <c r="AC117" s="191">
        <v>17</v>
      </c>
      <c r="AD117" s="191"/>
      <c r="AE117" s="191">
        <v>32</v>
      </c>
      <c r="AF117" s="191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BB117" s="4"/>
      <c r="BC117" s="4"/>
      <c r="BD117" s="4"/>
      <c r="BE117" s="4"/>
      <c r="BF117" s="4"/>
      <c r="BG117" s="4"/>
      <c r="BH117" s="4"/>
      <c r="BI117" s="4"/>
    </row>
    <row r="118" spans="1:61" x14ac:dyDescent="0.2">
      <c r="A118" s="11">
        <v>107</v>
      </c>
      <c r="B118" s="11">
        <f>IF(Open[[#This Row],[PR Rang beim letzten Turnier]]&gt;Open[[#This Row],[PR Rang]],1,IF(Open[[#This Row],[PR Rang beim letzten Turnier]]=Open[[#This Row],[PR Rang]],0,-1))</f>
        <v>-1</v>
      </c>
      <c r="C118" s="147">
        <f>RANK(Open[[#This Row],[PR Punkte]],Open[PR Punkte],0)</f>
        <v>112</v>
      </c>
      <c r="D118" s="9" t="s">
        <v>424</v>
      </c>
      <c r="E118" s="9" t="s">
        <v>18</v>
      </c>
      <c r="F118" s="109">
        <f>SUM(Open[[#This Row],[PR 1]:[PR 3]])</f>
        <v>104.4</v>
      </c>
      <c r="G118" s="109">
        <f>LARGE(Open[[#This Row],[TS SH O 22.02.22]:[PR3]],1)</f>
        <v>58.199999999999996</v>
      </c>
      <c r="H118" s="109">
        <f>LARGE(Open[[#This Row],[TS SH O 22.02.22]:[PR3]],2)</f>
        <v>46.2</v>
      </c>
      <c r="I118" s="109">
        <f>LARGE(Open[[#This Row],[TS SH O 22.02.22]:[PR3]],3)</f>
        <v>0</v>
      </c>
      <c r="J118" s="9">
        <f>RANK(K118,$K$7:$K$295,0)</f>
        <v>112</v>
      </c>
      <c r="K118" s="109">
        <f>SUM(L118:W118)</f>
        <v>104.4</v>
      </c>
      <c r="L118" s="109">
        <f>IFERROR(VLOOKUP(Open[[#This Row],[TS SH 22.02.22 Rang]],$AJ$16:$AK$111,2,0)*L$5," ")</f>
        <v>58.199999999999996</v>
      </c>
      <c r="M118" s="109">
        <f>IFERROR(VLOOKUP(Open[[#This Row],[TS SH O 23.04.22 Rang]],$AJ$16:$AK$111,2,0)*M$5," ")</f>
        <v>46.2</v>
      </c>
      <c r="N118" s="109" t="str">
        <f>IFERROR(VLOOKUP(Open[[#This Row],[TS LA O 08.05.22 Rang]],$AJ$16:$AK$111,2,0)*N$5," ")</f>
        <v xml:space="preserve"> </v>
      </c>
      <c r="O118" s="109" t="str">
        <f>IFERROR(VLOOKUP(Open[[#This Row],[TS SG O 25.05.22 Rang]],$AJ$16:$AK$111,2,0)*O$5," ")</f>
        <v xml:space="preserve"> </v>
      </c>
      <c r="P118" s="109" t="str">
        <f>IFERROR(VLOOKUP(Open[[#This Row],[TS SH O 25.06.22 Rang]],$AJ$16:$AK$111,2,0)*P$5," ")</f>
        <v xml:space="preserve"> </v>
      </c>
      <c r="Q118" s="109" t="str">
        <f>IFERROR(VLOOKUP(Open[[#This Row],[TS ZH O/A 25.06.22 Rang]],$AJ$16:$AK$111,2,0)*Q$5," ")</f>
        <v xml:space="preserve"> </v>
      </c>
      <c r="R118" s="109" t="str">
        <f>IFERROR(VLOOKUP(Open[[#This Row],[TS ZH O/B 25.06.22 Rang]],$AJ$16:$AK$111,2,0)*R$5," ")</f>
        <v xml:space="preserve"> </v>
      </c>
      <c r="S118" s="109" t="str">
        <f>IFERROR(VLOOKUP(Open[[#This Row],[SM BE O/A 09.07.22 Rang]],$AJ$16:$AK$111,2,0)*S$5," ")</f>
        <v xml:space="preserve"> </v>
      </c>
      <c r="T118" s="109" t="str">
        <f>IFERROR(VLOOKUP(Open[[#This Row],[SM BE O/B 09.07.22 Rang]],$AJ$16:$AK$111,2,0)*T$5," ")</f>
        <v xml:space="preserve"> </v>
      </c>
      <c r="U118" s="11">
        <v>0</v>
      </c>
      <c r="V118" s="11">
        <v>0</v>
      </c>
      <c r="W118" s="11">
        <v>0</v>
      </c>
      <c r="X118" s="129">
        <v>19</v>
      </c>
      <c r="Y118" s="191">
        <v>18</v>
      </c>
      <c r="Z118" s="191"/>
      <c r="AA118" s="191"/>
      <c r="AB118" s="191"/>
      <c r="AC118" s="191"/>
      <c r="AD118" s="191"/>
      <c r="AE118" s="191"/>
      <c r="AF118" s="191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BB118" s="4"/>
      <c r="BC118" s="4"/>
      <c r="BD118" s="4"/>
      <c r="BE118" s="4"/>
      <c r="BF118" s="4"/>
      <c r="BG118" s="4"/>
      <c r="BH118" s="4"/>
      <c r="BI118" s="4"/>
    </row>
    <row r="119" spans="1:61" x14ac:dyDescent="0.2">
      <c r="A119" s="11">
        <v>107</v>
      </c>
      <c r="B119" s="11">
        <f>IF(Open[[#This Row],[PR Rang beim letzten Turnier]]&gt;Open[[#This Row],[PR Rang]],1,IF(Open[[#This Row],[PR Rang beim letzten Turnier]]=Open[[#This Row],[PR Rang]],0,-1))</f>
        <v>-1</v>
      </c>
      <c r="C119" s="147">
        <f>RANK(Open[[#This Row],[PR Punkte]],Open[PR Punkte],0)</f>
        <v>112</v>
      </c>
      <c r="D119" s="9" t="s">
        <v>423</v>
      </c>
      <c r="E119" s="9" t="s">
        <v>18</v>
      </c>
      <c r="F119" s="109">
        <f>SUM(Open[[#This Row],[PR 1]:[PR 3]])</f>
        <v>104.4</v>
      </c>
      <c r="G119" s="109">
        <f>LARGE(Open[[#This Row],[TS SH O 22.02.22]:[PR3]],1)</f>
        <v>58.199999999999996</v>
      </c>
      <c r="H119" s="109">
        <f>LARGE(Open[[#This Row],[TS SH O 22.02.22]:[PR3]],2)</f>
        <v>46.2</v>
      </c>
      <c r="I119" s="109">
        <f>LARGE(Open[[#This Row],[TS SH O 22.02.22]:[PR3]],3)</f>
        <v>0</v>
      </c>
      <c r="J119" s="9">
        <f>RANK(K119,$K$7:$K$295,0)</f>
        <v>112</v>
      </c>
      <c r="K119" s="109">
        <f>SUM(L119:W119)</f>
        <v>104.4</v>
      </c>
      <c r="L119" s="109">
        <f>IFERROR(VLOOKUP(Open[[#This Row],[TS SH 22.02.22 Rang]],$AJ$16:$AK$111,2,0)*L$5," ")</f>
        <v>58.199999999999996</v>
      </c>
      <c r="M119" s="109">
        <f>IFERROR(VLOOKUP(Open[[#This Row],[TS SH O 23.04.22 Rang]],$AJ$16:$AK$111,2,0)*M$5," ")</f>
        <v>46.2</v>
      </c>
      <c r="N119" s="109" t="str">
        <f>IFERROR(VLOOKUP(Open[[#This Row],[TS LA O 08.05.22 Rang]],$AJ$16:$AK$111,2,0)*N$5," ")</f>
        <v xml:space="preserve"> </v>
      </c>
      <c r="O119" s="109" t="str">
        <f>IFERROR(VLOOKUP(Open[[#This Row],[TS SG O 25.05.22 Rang]],$AJ$16:$AK$111,2,0)*O$5," ")</f>
        <v xml:space="preserve"> </v>
      </c>
      <c r="P119" s="109" t="str">
        <f>IFERROR(VLOOKUP(Open[[#This Row],[TS SH O 25.06.22 Rang]],$AJ$16:$AK$111,2,0)*P$5," ")</f>
        <v xml:space="preserve"> </v>
      </c>
      <c r="Q119" s="109" t="str">
        <f>IFERROR(VLOOKUP(Open[[#This Row],[TS ZH O/A 25.06.22 Rang]],$AJ$16:$AK$111,2,0)*Q$5," ")</f>
        <v xml:space="preserve"> </v>
      </c>
      <c r="R119" s="109" t="str">
        <f>IFERROR(VLOOKUP(Open[[#This Row],[TS ZH O/B 25.06.22 Rang]],$AJ$16:$AK$111,2,0)*R$5," ")</f>
        <v xml:space="preserve"> </v>
      </c>
      <c r="S119" s="109" t="str">
        <f>IFERROR(VLOOKUP(Open[[#This Row],[SM BE O/A 09.07.22 Rang]],$AJ$16:$AK$111,2,0)*S$5," ")</f>
        <v xml:space="preserve"> </v>
      </c>
      <c r="T119" s="109" t="str">
        <f>IFERROR(VLOOKUP(Open[[#This Row],[SM BE O/B 09.07.22 Rang]],$AJ$16:$AK$111,2,0)*T$5," ")</f>
        <v xml:space="preserve"> </v>
      </c>
      <c r="U119" s="11">
        <v>0</v>
      </c>
      <c r="V119" s="11">
        <v>0</v>
      </c>
      <c r="W119" s="11">
        <v>0</v>
      </c>
      <c r="X119" s="129">
        <v>19</v>
      </c>
      <c r="Y119" s="191">
        <v>18</v>
      </c>
      <c r="Z119" s="191"/>
      <c r="AA119" s="191"/>
      <c r="AB119" s="191"/>
      <c r="AC119" s="191"/>
      <c r="AD119" s="191"/>
      <c r="AE119" s="191"/>
      <c r="AF119" s="191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BB119" s="4"/>
      <c r="BC119" s="4"/>
      <c r="BD119" s="4"/>
      <c r="BE119" s="4"/>
      <c r="BF119" s="4"/>
      <c r="BG119" s="4"/>
      <c r="BH119" s="4"/>
      <c r="BI119" s="4"/>
    </row>
    <row r="120" spans="1:61" x14ac:dyDescent="0.2">
      <c r="A120" s="11">
        <v>107</v>
      </c>
      <c r="B120" s="11">
        <f>IF(Open[[#This Row],[PR Rang beim letzten Turnier]]&gt;Open[[#This Row],[PR Rang]],1,IF(Open[[#This Row],[PR Rang beim letzten Turnier]]=Open[[#This Row],[PR Rang]],0,-1))</f>
        <v>-1</v>
      </c>
      <c r="C120" s="147">
        <f>RANK(Open[[#This Row],[PR Punkte]],Open[PR Punkte],0)</f>
        <v>112</v>
      </c>
      <c r="D120" s="9" t="s">
        <v>166</v>
      </c>
      <c r="E120" s="9" t="s">
        <v>16</v>
      </c>
      <c r="F120" s="109">
        <f>SUM(Open[[#This Row],[PR 1]:[PR 3]])</f>
        <v>104.4</v>
      </c>
      <c r="G120" s="109">
        <f>LARGE(Open[[#This Row],[TS SH O 22.02.22]:[PR3]],1)</f>
        <v>58.199999999999996</v>
      </c>
      <c r="H120" s="109">
        <f>LARGE(Open[[#This Row],[TS SH O 22.02.22]:[PR3]],2)</f>
        <v>46.2</v>
      </c>
      <c r="I120" s="109">
        <f>LARGE(Open[[#This Row],[TS SH O 22.02.22]:[PR3]],3)</f>
        <v>0</v>
      </c>
      <c r="J120" s="9">
        <f>RANK(K120,$K$7:$K$295,0)</f>
        <v>112</v>
      </c>
      <c r="K120" s="109">
        <f>SUM(L120:W120)</f>
        <v>104.4</v>
      </c>
      <c r="L120" s="109">
        <f>IFERROR(VLOOKUP(Open[[#This Row],[TS SH 22.02.22 Rang]],$AJ$16:$AK$111,2,0)*L$5," ")</f>
        <v>58.199999999999996</v>
      </c>
      <c r="M120" s="109">
        <f>IFERROR(VLOOKUP(Open[[#This Row],[TS SH O 23.04.22 Rang]],$AJ$16:$AK$111,2,0)*M$5," ")</f>
        <v>46.2</v>
      </c>
      <c r="N120" s="109" t="str">
        <f>IFERROR(VLOOKUP(Open[[#This Row],[TS LA O 08.05.22 Rang]],$AJ$16:$AK$111,2,0)*N$5," ")</f>
        <v xml:space="preserve"> </v>
      </c>
      <c r="O120" s="109" t="str">
        <f>IFERROR(VLOOKUP(Open[[#This Row],[TS SG O 25.05.22 Rang]],$AJ$16:$AK$111,2,0)*O$5," ")</f>
        <v xml:space="preserve"> </v>
      </c>
      <c r="P120" s="109" t="str">
        <f>IFERROR(VLOOKUP(Open[[#This Row],[TS SH O 25.06.22 Rang]],$AJ$16:$AK$111,2,0)*P$5," ")</f>
        <v xml:space="preserve"> </v>
      </c>
      <c r="Q120" s="109" t="str">
        <f>IFERROR(VLOOKUP(Open[[#This Row],[TS ZH O/A 25.06.22 Rang]],$AJ$16:$AK$111,2,0)*Q$5," ")</f>
        <v xml:space="preserve"> </v>
      </c>
      <c r="R120" s="109" t="str">
        <f>IFERROR(VLOOKUP(Open[[#This Row],[TS ZH O/B 25.06.22 Rang]],$AJ$16:$AK$111,2,0)*R$5," ")</f>
        <v xml:space="preserve"> </v>
      </c>
      <c r="S120" s="109" t="str">
        <f>IFERROR(VLOOKUP(Open[[#This Row],[SM BE O/A 09.07.22 Rang]],$AJ$16:$AK$111,2,0)*S$5," ")</f>
        <v xml:space="preserve"> </v>
      </c>
      <c r="T120" s="109" t="str">
        <f>IFERROR(VLOOKUP(Open[[#This Row],[SM BE O/B 09.07.22 Rang]],$AJ$16:$AK$111,2,0)*T$5," ")</f>
        <v xml:space="preserve"> </v>
      </c>
      <c r="U120" s="11">
        <v>0</v>
      </c>
      <c r="V120" s="11">
        <v>0</v>
      </c>
      <c r="W120" s="11">
        <v>0</v>
      </c>
      <c r="X120" s="129">
        <v>23</v>
      </c>
      <c r="Y120" s="191">
        <v>27</v>
      </c>
      <c r="Z120" s="191"/>
      <c r="AA120" s="191"/>
      <c r="AB120" s="191"/>
      <c r="AC120" s="191"/>
      <c r="AD120" s="191"/>
      <c r="AE120" s="191"/>
      <c r="AF120" s="191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BB120" s="4"/>
      <c r="BC120" s="4"/>
      <c r="BD120" s="4"/>
      <c r="BE120" s="4"/>
      <c r="BF120" s="4"/>
      <c r="BG120" s="4"/>
      <c r="BH120" s="4"/>
      <c r="BI120" s="4"/>
    </row>
    <row r="121" spans="1:61" x14ac:dyDescent="0.2">
      <c r="A121" s="11">
        <v>111</v>
      </c>
      <c r="B121" s="11">
        <f>IF(Open[[#This Row],[PR Rang beim letzten Turnier]]&gt;Open[[#This Row],[PR Rang]],1,IF(Open[[#This Row],[PR Rang beim letzten Turnier]]=Open[[#This Row],[PR Rang]],0,-1))</f>
        <v>-1</v>
      </c>
      <c r="C121" s="147">
        <f>RANK(Open[[#This Row],[PR Punkte]],Open[PR Punkte],0)</f>
        <v>115</v>
      </c>
      <c r="D121" s="9" t="s">
        <v>492</v>
      </c>
      <c r="E121" s="9" t="s">
        <v>488</v>
      </c>
      <c r="F121" s="109">
        <f>SUM(Open[[#This Row],[PR 1]:[PR 3]])</f>
        <v>93.600000000000009</v>
      </c>
      <c r="G121" s="109">
        <f>LARGE(Open[[#This Row],[TS SH O 22.02.22]:[PR3]],1)</f>
        <v>47.400000000000006</v>
      </c>
      <c r="H121" s="109">
        <f>LARGE(Open[[#This Row],[TS SH O 22.02.22]:[PR3]],2)</f>
        <v>46.2</v>
      </c>
      <c r="I121" s="109">
        <f>LARGE(Open[[#This Row],[TS SH O 22.02.22]:[PR3]],3)</f>
        <v>0</v>
      </c>
      <c r="J121" s="9">
        <f>RANK(K121,$K$7:$K$361,0)</f>
        <v>115</v>
      </c>
      <c r="K121" s="109">
        <f>SUM(L121:W121)</f>
        <v>93.600000000000009</v>
      </c>
      <c r="L121" s="109"/>
      <c r="M121" s="109">
        <f>IFERROR(VLOOKUP(Open[[#This Row],[TS SH O 23.04.22 Rang]],$AJ$16:$AK$111,2,0)*M$5," ")</f>
        <v>46.2</v>
      </c>
      <c r="N121" s="109">
        <f>IFERROR(VLOOKUP(Open[[#This Row],[TS LA O 08.05.22 Rang]],$AJ$16:$AK$111,2,0)*N$5," ")</f>
        <v>47.400000000000006</v>
      </c>
      <c r="O121" s="109" t="str">
        <f>IFERROR(VLOOKUP(Open[[#This Row],[TS SG O 25.05.22 Rang]],$AJ$16:$AK$111,2,0)*O$5," ")</f>
        <v xml:space="preserve"> </v>
      </c>
      <c r="P121" s="109" t="str">
        <f>IFERROR(VLOOKUP(Open[[#This Row],[TS SH O 25.06.22 Rang]],$AJ$16:$AK$111,2,0)*P$5," ")</f>
        <v xml:space="preserve"> </v>
      </c>
      <c r="Q121" s="109" t="str">
        <f>IFERROR(VLOOKUP(Open[[#This Row],[TS ZH O/A 25.06.22 Rang]],$AJ$16:$AK$111,2,0)*Q$5," ")</f>
        <v xml:space="preserve"> </v>
      </c>
      <c r="R121" s="109" t="str">
        <f>IFERROR(VLOOKUP(Open[[#This Row],[TS ZH O/B 25.06.22 Rang]],$AJ$16:$AK$111,2,0)*R$5," ")</f>
        <v xml:space="preserve"> </v>
      </c>
      <c r="S121" s="109" t="str">
        <f>IFERROR(VLOOKUP(Open[[#This Row],[SM BE O/A 09.07.22 Rang]],$AJ$16:$AK$111,2,0)*S$5," ")</f>
        <v xml:space="preserve"> </v>
      </c>
      <c r="T121" s="109" t="str">
        <f>IFERROR(VLOOKUP(Open[[#This Row],[SM BE O/B 09.07.22 Rang]],$AJ$16:$AK$111,2,0)*T$5," ")</f>
        <v xml:space="preserve"> </v>
      </c>
      <c r="U121" s="11">
        <v>0</v>
      </c>
      <c r="V121" s="11">
        <v>0</v>
      </c>
      <c r="W121" s="11">
        <v>0</v>
      </c>
      <c r="X121" s="129"/>
      <c r="Y121" s="191">
        <v>24</v>
      </c>
      <c r="Z121" s="191">
        <v>22</v>
      </c>
      <c r="AA121" s="191"/>
      <c r="AB121" s="191"/>
      <c r="AC121" s="191"/>
      <c r="AD121" s="191"/>
      <c r="AE121" s="191"/>
      <c r="AF121" s="191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BB121" s="4"/>
      <c r="BC121" s="4"/>
      <c r="BD121" s="4"/>
      <c r="BE121" s="4"/>
      <c r="BF121" s="4"/>
      <c r="BG121" s="4"/>
      <c r="BH121" s="4"/>
      <c r="BI121" s="4"/>
    </row>
    <row r="122" spans="1:61" x14ac:dyDescent="0.2">
      <c r="A122" s="11">
        <v>111</v>
      </c>
      <c r="B122" s="11">
        <f>IF(Open[[#This Row],[PR Rang beim letzten Turnier]]&gt;Open[[#This Row],[PR Rang]],1,IF(Open[[#This Row],[PR Rang beim letzten Turnier]]=Open[[#This Row],[PR Rang]],0,-1))</f>
        <v>-1</v>
      </c>
      <c r="C122" s="147">
        <f>RANK(Open[[#This Row],[PR Punkte]],Open[PR Punkte],0)</f>
        <v>115</v>
      </c>
      <c r="D122" s="9" t="s">
        <v>493</v>
      </c>
      <c r="E122" s="9" t="s">
        <v>488</v>
      </c>
      <c r="F122" s="109">
        <f>SUM(Open[[#This Row],[PR 1]:[PR 3]])</f>
        <v>93.600000000000009</v>
      </c>
      <c r="G122" s="109">
        <f>LARGE(Open[[#This Row],[TS SH O 22.02.22]:[PR3]],1)</f>
        <v>47.400000000000006</v>
      </c>
      <c r="H122" s="109">
        <f>LARGE(Open[[#This Row],[TS SH O 22.02.22]:[PR3]],2)</f>
        <v>46.2</v>
      </c>
      <c r="I122" s="109">
        <f>LARGE(Open[[#This Row],[TS SH O 22.02.22]:[PR3]],3)</f>
        <v>0</v>
      </c>
      <c r="J122" s="9">
        <f>RANK(K122,$K$7:$K$361,0)</f>
        <v>115</v>
      </c>
      <c r="K122" s="109">
        <f>SUM(L122:W122)</f>
        <v>93.600000000000009</v>
      </c>
      <c r="L122" s="109"/>
      <c r="M122" s="109">
        <f>IFERROR(VLOOKUP(Open[[#This Row],[TS SH O 23.04.22 Rang]],$AJ$16:$AK$111,2,0)*M$5," ")</f>
        <v>46.2</v>
      </c>
      <c r="N122" s="109">
        <f>IFERROR(VLOOKUP(Open[[#This Row],[TS LA O 08.05.22 Rang]],$AJ$16:$AK$111,2,0)*N$5," ")</f>
        <v>47.400000000000006</v>
      </c>
      <c r="O122" s="109" t="str">
        <f>IFERROR(VLOOKUP(Open[[#This Row],[TS SG O 25.05.22 Rang]],$AJ$16:$AK$111,2,0)*O$5," ")</f>
        <v xml:space="preserve"> </v>
      </c>
      <c r="P122" s="109" t="str">
        <f>IFERROR(VLOOKUP(Open[[#This Row],[TS SH O 25.06.22 Rang]],$AJ$16:$AK$111,2,0)*P$5," ")</f>
        <v xml:space="preserve"> </v>
      </c>
      <c r="Q122" s="109" t="str">
        <f>IFERROR(VLOOKUP(Open[[#This Row],[TS ZH O/A 25.06.22 Rang]],$AJ$16:$AK$111,2,0)*Q$5," ")</f>
        <v xml:space="preserve"> </v>
      </c>
      <c r="R122" s="109" t="str">
        <f>IFERROR(VLOOKUP(Open[[#This Row],[TS ZH O/B 25.06.22 Rang]],$AJ$16:$AK$111,2,0)*R$5," ")</f>
        <v xml:space="preserve"> </v>
      </c>
      <c r="S122" s="109" t="str">
        <f>IFERROR(VLOOKUP(Open[[#This Row],[SM BE O/A 09.07.22 Rang]],$AJ$16:$AK$111,2,0)*S$5," ")</f>
        <v xml:space="preserve"> </v>
      </c>
      <c r="T122" s="109" t="str">
        <f>IFERROR(VLOOKUP(Open[[#This Row],[SM BE O/B 09.07.22 Rang]],$AJ$16:$AK$111,2,0)*T$5," ")</f>
        <v xml:space="preserve"> </v>
      </c>
      <c r="U122" s="11">
        <v>0</v>
      </c>
      <c r="V122" s="11">
        <v>0</v>
      </c>
      <c r="W122" s="11">
        <v>0</v>
      </c>
      <c r="X122" s="129"/>
      <c r="Y122" s="191">
        <v>25</v>
      </c>
      <c r="Z122" s="191">
        <v>25</v>
      </c>
      <c r="AA122" s="191"/>
      <c r="AB122" s="191"/>
      <c r="AC122" s="191"/>
      <c r="AD122" s="191"/>
      <c r="AE122" s="191"/>
      <c r="AF122" s="191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BB122" s="4"/>
      <c r="BC122" s="4"/>
      <c r="BD122" s="4"/>
      <c r="BE122" s="4"/>
      <c r="BF122" s="4"/>
      <c r="BG122" s="4"/>
      <c r="BH122" s="4"/>
      <c r="BI122" s="4"/>
    </row>
    <row r="123" spans="1:61" x14ac:dyDescent="0.2">
      <c r="A123" s="11">
        <v>173</v>
      </c>
      <c r="B123" s="11">
        <f>IF(Open[[#This Row],[PR Rang beim letzten Turnier]]&gt;Open[[#This Row],[PR Rang]],1,IF(Open[[#This Row],[PR Rang beim letzten Turnier]]=Open[[#This Row],[PR Rang]],0,-1))</f>
        <v>1</v>
      </c>
      <c r="C123" s="147">
        <f>RANK(Open[[#This Row],[PR Punkte]],Open[PR Punkte],0)</f>
        <v>117</v>
      </c>
      <c r="D123" s="31" t="s">
        <v>93</v>
      </c>
      <c r="E123" s="9" t="s">
        <v>11</v>
      </c>
      <c r="F123" s="109">
        <f>SUM(Open[[#This Row],[PR 1]:[PR 3]])</f>
        <v>90</v>
      </c>
      <c r="G123" s="109">
        <f>LARGE(Open[[#This Row],[TS SH O 22.02.22]:[PR3]],1)</f>
        <v>90</v>
      </c>
      <c r="H123" s="109">
        <f>LARGE(Open[[#This Row],[TS SH O 22.02.22]:[PR3]],2)</f>
        <v>0</v>
      </c>
      <c r="I123" s="109">
        <f>LARGE(Open[[#This Row],[TS SH O 22.02.22]:[PR3]],3)</f>
        <v>0</v>
      </c>
      <c r="J123" s="9">
        <f>RANK(K123,$K$7:$K$295,0)</f>
        <v>117</v>
      </c>
      <c r="K123" s="109">
        <f>SUM(L123:W123)</f>
        <v>90</v>
      </c>
      <c r="L123" s="109" t="str">
        <f>IFERROR(VLOOKUP(Open[[#This Row],[TS SH 22.02.22 Rang]],$AJ$16:$AK$111,2,0)*L$5," ")</f>
        <v xml:space="preserve"> </v>
      </c>
      <c r="M123" s="109" t="str">
        <f>IFERROR(VLOOKUP(Open[[#This Row],[TS SH O 23.04.22 Rang]],$AJ$16:$AK$111,2,0)*M$5," ")</f>
        <v xml:space="preserve"> </v>
      </c>
      <c r="N123" s="109" t="str">
        <f>IFERROR(VLOOKUP(Open[[#This Row],[TS LA O 08.05.22 Rang]],$AJ$16:$AK$111,2,0)*N$5," ")</f>
        <v xml:space="preserve"> </v>
      </c>
      <c r="O123" s="109" t="str">
        <f>IFERROR(VLOOKUP(Open[[#This Row],[TS SG O 25.05.22 Rang]],$AJ$16:$AK$111,2,0)*O$5," ")</f>
        <v xml:space="preserve"> </v>
      </c>
      <c r="P123" s="109" t="str">
        <f>IFERROR(VLOOKUP(Open[[#This Row],[TS SH O 25.06.22 Rang]],$AJ$16:$AK$111,2,0)*P$5," ")</f>
        <v xml:space="preserve"> </v>
      </c>
      <c r="Q123" s="109" t="str">
        <f>IFERROR(VLOOKUP(Open[[#This Row],[TS ZH O/A 25.06.22 Rang]],$AJ$16:$AK$111,2,0)*Q$5," ")</f>
        <v xml:space="preserve"> </v>
      </c>
      <c r="R123" s="109" t="str">
        <f>IFERROR(VLOOKUP(Open[[#This Row],[TS ZH O/B 25.06.22 Rang]],$AJ$16:$AK$111,2,0)*R$5," ")</f>
        <v xml:space="preserve"> </v>
      </c>
      <c r="S123" s="109" t="str">
        <f>IFERROR(VLOOKUP(Open[[#This Row],[SM BE O/A 09.07.22 Rang]],$AJ$16:$AK$111,2,0)*S$5," ")</f>
        <v xml:space="preserve"> </v>
      </c>
      <c r="T123" s="109">
        <f>IFERROR(VLOOKUP(Open[[#This Row],[SM BE O/B 09.07.22 Rang]],$AJ$16:$AK$111,2,0)*T$5," ")</f>
        <v>90</v>
      </c>
      <c r="U123" s="11">
        <v>0</v>
      </c>
      <c r="V123" s="11">
        <v>0</v>
      </c>
      <c r="W123" s="11">
        <v>0</v>
      </c>
      <c r="X123" s="129"/>
      <c r="Y123" s="191"/>
      <c r="Z123" s="191"/>
      <c r="AA123" s="191"/>
      <c r="AB123" s="191"/>
      <c r="AC123" s="191"/>
      <c r="AD123" s="191"/>
      <c r="AE123" s="191"/>
      <c r="AF123" s="191">
        <v>2</v>
      </c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BB123" s="4"/>
      <c r="BC123" s="4"/>
      <c r="BD123" s="4"/>
      <c r="BE123" s="4"/>
      <c r="BF123" s="4"/>
      <c r="BG123" s="4"/>
      <c r="BH123" s="4"/>
      <c r="BI123" s="4"/>
    </row>
    <row r="124" spans="1:61" x14ac:dyDescent="0.2">
      <c r="A124" s="11">
        <v>173</v>
      </c>
      <c r="B124" s="11">
        <f>IF(Open[[#This Row],[PR Rang beim letzten Turnier]]&gt;Open[[#This Row],[PR Rang]],1,IF(Open[[#This Row],[PR Rang beim letzten Turnier]]=Open[[#This Row],[PR Rang]],0,-1))</f>
        <v>1</v>
      </c>
      <c r="C124" s="147">
        <f>RANK(Open[[#This Row],[PR Punkte]],Open[PR Punkte],0)</f>
        <v>117</v>
      </c>
      <c r="D124" s="31" t="s">
        <v>74</v>
      </c>
      <c r="E124" s="9" t="s">
        <v>11</v>
      </c>
      <c r="F124" s="109">
        <f>SUM(Open[[#This Row],[PR 1]:[PR 3]])</f>
        <v>90</v>
      </c>
      <c r="G124" s="109">
        <f>LARGE(Open[[#This Row],[TS SH O 22.02.22]:[PR3]],1)</f>
        <v>90</v>
      </c>
      <c r="H124" s="109">
        <f>LARGE(Open[[#This Row],[TS SH O 22.02.22]:[PR3]],2)</f>
        <v>0</v>
      </c>
      <c r="I124" s="109">
        <f>LARGE(Open[[#This Row],[TS SH O 22.02.22]:[PR3]],3)</f>
        <v>0</v>
      </c>
      <c r="J124" s="9">
        <f>RANK(K124,$K$7:$K$295,0)</f>
        <v>117</v>
      </c>
      <c r="K124" s="109">
        <f>SUM(L124:W124)</f>
        <v>90</v>
      </c>
      <c r="L124" s="109" t="str">
        <f>IFERROR(VLOOKUP(Open[[#This Row],[TS SH 22.02.22 Rang]],$AJ$16:$AK$111,2,0)*L$5," ")</f>
        <v xml:space="preserve"> </v>
      </c>
      <c r="M124" s="109" t="str">
        <f>IFERROR(VLOOKUP(Open[[#This Row],[TS SH O 23.04.22 Rang]],$AJ$16:$AK$111,2,0)*M$5," ")</f>
        <v xml:space="preserve"> </v>
      </c>
      <c r="N124" s="109" t="str">
        <f>IFERROR(VLOOKUP(Open[[#This Row],[TS LA O 08.05.22 Rang]],$AJ$16:$AK$111,2,0)*N$5," ")</f>
        <v xml:space="preserve"> </v>
      </c>
      <c r="O124" s="109" t="str">
        <f>IFERROR(VLOOKUP(Open[[#This Row],[TS SG O 25.05.22 Rang]],$AJ$16:$AK$111,2,0)*O$5," ")</f>
        <v xml:space="preserve"> </v>
      </c>
      <c r="P124" s="109" t="str">
        <f>IFERROR(VLOOKUP(Open[[#This Row],[TS SH O 25.06.22 Rang]],$AJ$16:$AK$111,2,0)*P$5," ")</f>
        <v xml:space="preserve"> </v>
      </c>
      <c r="Q124" s="109" t="str">
        <f>IFERROR(VLOOKUP(Open[[#This Row],[TS ZH O/A 25.06.22 Rang]],$AJ$16:$AK$111,2,0)*Q$5," ")</f>
        <v xml:space="preserve"> </v>
      </c>
      <c r="R124" s="109" t="str">
        <f>IFERROR(VLOOKUP(Open[[#This Row],[TS ZH O/B 25.06.22 Rang]],$AJ$16:$AK$111,2,0)*R$5," ")</f>
        <v xml:space="preserve"> </v>
      </c>
      <c r="S124" s="109" t="str">
        <f>IFERROR(VLOOKUP(Open[[#This Row],[SM BE O/A 09.07.22 Rang]],$AJ$16:$AK$111,2,0)*S$5," ")</f>
        <v xml:space="preserve"> </v>
      </c>
      <c r="T124" s="109">
        <f>IFERROR(VLOOKUP(Open[[#This Row],[SM BE O/B 09.07.22 Rang]],$AJ$16:$AK$111,2,0)*T$5," ")</f>
        <v>90</v>
      </c>
      <c r="U124" s="11">
        <v>0</v>
      </c>
      <c r="V124" s="11">
        <v>0</v>
      </c>
      <c r="W124" s="11">
        <v>0</v>
      </c>
      <c r="X124" s="129"/>
      <c r="Y124" s="191"/>
      <c r="Z124" s="191"/>
      <c r="AA124" s="191"/>
      <c r="AB124" s="191"/>
      <c r="AC124" s="191"/>
      <c r="AD124" s="191"/>
      <c r="AE124" s="191"/>
      <c r="AF124" s="191">
        <v>2</v>
      </c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BB124" s="4"/>
      <c r="BC124" s="4"/>
      <c r="BD124" s="4"/>
      <c r="BE124" s="4"/>
      <c r="BF124" s="4"/>
      <c r="BG124" s="4"/>
      <c r="BH124" s="4"/>
      <c r="BI124" s="4"/>
    </row>
    <row r="125" spans="1:61" x14ac:dyDescent="0.2">
      <c r="A125" s="86">
        <v>113</v>
      </c>
      <c r="B125" s="11">
        <f>IF(Open[[#This Row],[PR Rang beim letzten Turnier]]&gt;Open[[#This Row],[PR Rang]],1,IF(Open[[#This Row],[PR Rang beim letzten Turnier]]=Open[[#This Row],[PR Rang]],0,-1))</f>
        <v>-1</v>
      </c>
      <c r="C125" s="194">
        <f>RANK(Open[[#This Row],[PR Punkte]],Open[PR Punkte],0)</f>
        <v>117</v>
      </c>
      <c r="D125" s="33" t="s">
        <v>614</v>
      </c>
      <c r="E125" s="11" t="s">
        <v>11</v>
      </c>
      <c r="F125" s="195">
        <f>SUM(Open[[#This Row],[PR 1]:[PR 3]])</f>
        <v>90</v>
      </c>
      <c r="G125" s="109">
        <f>LARGE(Open[[#This Row],[TS SH O 22.02.22]:[PR3]],1)</f>
        <v>90</v>
      </c>
      <c r="H125" s="109">
        <f>LARGE(Open[[#This Row],[TS SH O 22.02.22]:[PR3]],2)</f>
        <v>0</v>
      </c>
      <c r="I125" s="109">
        <f>LARGE(Open[[#This Row],[TS SH O 22.02.22]:[PR3]],3)</f>
        <v>0</v>
      </c>
      <c r="J125" s="196">
        <f>RANK(K125,$K$7:$K$361,0)</f>
        <v>117</v>
      </c>
      <c r="K125" s="109">
        <f>SUM(L125:W125)</f>
        <v>90</v>
      </c>
      <c r="L125" s="109"/>
      <c r="M125" s="109" t="str">
        <f>IFERROR(VLOOKUP(Open[[#This Row],[TS SH O 23.04.22 Rang]],$AJ$16:$AK$111,2,0)*M$5," ")</f>
        <v xml:space="preserve"> </v>
      </c>
      <c r="N125" s="109" t="str">
        <f>IFERROR(VLOOKUP(Open[[#This Row],[TS LA O 08.05.22 Rang]],$AJ$16:$AK$111,2,0)*N$5," ")</f>
        <v xml:space="preserve"> </v>
      </c>
      <c r="O125" s="109" t="str">
        <f>IFERROR(VLOOKUP(Open[[#This Row],[TS SG O 25.05.22 Rang]],$AJ$16:$AK$111,2,0)*O$5," ")</f>
        <v xml:space="preserve"> </v>
      </c>
      <c r="P125" s="109" t="str">
        <f>IFERROR(VLOOKUP(Open[[#This Row],[TS SH O 25.06.22 Rang]],$AJ$16:$AK$111,2,0)*P$5," ")</f>
        <v xml:space="preserve"> </v>
      </c>
      <c r="Q125" s="109" t="str">
        <f>IFERROR(VLOOKUP(Open[[#This Row],[TS ZH O/A 25.06.22 Rang]],$AJ$16:$AK$111,2,0)*Q$5," ")</f>
        <v xml:space="preserve"> </v>
      </c>
      <c r="R125" s="109">
        <f>IFERROR(VLOOKUP(Open[[#This Row],[TS ZH O/B 25.06.22 Rang]],$AJ$16:$AK$111,2,0)*R$5," ")</f>
        <v>90</v>
      </c>
      <c r="S125" s="109" t="str">
        <f>IFERROR(VLOOKUP(Open[[#This Row],[SM BE O/A 09.07.22 Rang]],$AJ$16:$AK$111,2,0)*S$5," ")</f>
        <v xml:space="preserve"> </v>
      </c>
      <c r="T125" s="109" t="str">
        <f>IFERROR(VLOOKUP(Open[[#This Row],[SM BE O/B 09.07.22 Rang]],$AJ$16:$AK$111,2,0)*T$5," ")</f>
        <v xml:space="preserve"> </v>
      </c>
      <c r="U125" s="11">
        <v>0</v>
      </c>
      <c r="V125" s="11">
        <v>0</v>
      </c>
      <c r="W125" s="11">
        <v>0</v>
      </c>
      <c r="X125" s="129"/>
      <c r="Y125" s="191"/>
      <c r="Z125" s="191"/>
      <c r="AA125" s="191"/>
      <c r="AB125" s="191"/>
      <c r="AC125" s="191"/>
      <c r="AD125" s="191">
        <v>2</v>
      </c>
      <c r="AE125" s="191"/>
      <c r="AF125" s="191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BB125" s="4"/>
      <c r="BC125" s="4"/>
      <c r="BD125" s="4"/>
      <c r="BE125" s="4"/>
      <c r="BF125" s="4"/>
      <c r="BG125" s="4"/>
      <c r="BH125" s="4"/>
      <c r="BI125" s="4"/>
    </row>
    <row r="126" spans="1:61" x14ac:dyDescent="0.2">
      <c r="A126" s="258">
        <v>153</v>
      </c>
      <c r="B126" s="11">
        <f>IF(Open[[#This Row],[PR Rang beim letzten Turnier]]&gt;Open[[#This Row],[PR Rang]],1,IF(Open[[#This Row],[PR Rang beim letzten Turnier]]=Open[[#This Row],[PR Rang]],0,-1))</f>
        <v>1</v>
      </c>
      <c r="C126" s="259">
        <f>RANK(Open[[#This Row],[PR Punkte]],Open[PR Punkte],0)</f>
        <v>120</v>
      </c>
      <c r="D126" s="264" t="s">
        <v>592</v>
      </c>
      <c r="E126" t="s">
        <v>10</v>
      </c>
      <c r="F126" s="260">
        <f>SUM(Open[[#This Row],[PR 1]:[PR 3]])</f>
        <v>86</v>
      </c>
      <c r="G126" s="109">
        <f>LARGE(Open[[#This Row],[TS SH O 22.02.22]:[PR3]],1)</f>
        <v>44.4</v>
      </c>
      <c r="H126" s="109">
        <f>LARGE(Open[[#This Row],[TS SH O 22.02.22]:[PR3]],2)</f>
        <v>41.6</v>
      </c>
      <c r="I126" s="109">
        <f>LARGE(Open[[#This Row],[TS SH O 22.02.22]:[PR3]],3)</f>
        <v>0</v>
      </c>
      <c r="J126" s="196">
        <f>RANK(K126,$K$7:$K$361,0)</f>
        <v>120</v>
      </c>
      <c r="K126" s="261">
        <f>SUM(L126:W126)</f>
        <v>86</v>
      </c>
      <c r="L126" s="261"/>
      <c r="M126" s="261" t="str">
        <f>IFERROR(VLOOKUP(Open[[#This Row],[TS SH O 23.04.22 Rang]],$AJ$16:$AK$111,2,0)*M$5," ")</f>
        <v xml:space="preserve"> </v>
      </c>
      <c r="N126" s="261" t="str">
        <f>IFERROR(VLOOKUP(Open[[#This Row],[TS LA O 08.05.22 Rang]],$AJ$16:$AK$111,2,0)*N$5," ")</f>
        <v xml:space="preserve"> </v>
      </c>
      <c r="O126" s="109" t="str">
        <f>IFERROR(VLOOKUP(Open[[#This Row],[TS SG O 25.05.22 Rang]],$AJ$16:$AK$111,2,0)*O$5," ")</f>
        <v xml:space="preserve"> </v>
      </c>
      <c r="P126" s="109">
        <f>IFERROR(VLOOKUP(Open[[#This Row],[TS SH O 25.06.22 Rang]],$AJ$16:$AK$111,2,0)*P$5," ")</f>
        <v>44.4</v>
      </c>
      <c r="Q126" s="109" t="str">
        <f>IFERROR(VLOOKUP(Open[[#This Row],[TS ZH O/A 25.06.22 Rang]],$AJ$16:$AK$111,2,0)*Q$5," ")</f>
        <v xml:space="preserve"> </v>
      </c>
      <c r="R126" s="109" t="str">
        <f>IFERROR(VLOOKUP(Open[[#This Row],[TS ZH O/B 25.06.22 Rang]],$AJ$16:$AK$111,2,0)*R$5," ")</f>
        <v xml:space="preserve"> </v>
      </c>
      <c r="S126" s="109">
        <f>IFERROR(VLOOKUP(Open[[#This Row],[SM BE O/A 09.07.22 Rang]],$AJ$16:$AK$111,2,0)*S$5," ")</f>
        <v>41.6</v>
      </c>
      <c r="T126" s="109" t="str">
        <f>IFERROR(VLOOKUP(Open[[#This Row],[SM BE O/B 09.07.22 Rang]],$AJ$16:$AK$111,2,0)*T$5," ")</f>
        <v xml:space="preserve"> </v>
      </c>
      <c r="U126" s="11">
        <v>0</v>
      </c>
      <c r="V126" s="11">
        <v>0</v>
      </c>
      <c r="W126" s="11">
        <v>0</v>
      </c>
      <c r="X126" s="263"/>
      <c r="Y126" s="262"/>
      <c r="Z126" s="262"/>
      <c r="AA126" s="191"/>
      <c r="AB126" s="191">
        <v>22</v>
      </c>
      <c r="AC126" s="191"/>
      <c r="AD126" s="191"/>
      <c r="AE126" s="191">
        <v>34</v>
      </c>
      <c r="AF126" s="191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BB126" s="4"/>
      <c r="BC126" s="4"/>
      <c r="BD126" s="4"/>
      <c r="BE126" s="4"/>
      <c r="BF126" s="4"/>
      <c r="BG126" s="4"/>
      <c r="BH126" s="4"/>
      <c r="BI126" s="4"/>
    </row>
    <row r="127" spans="1:61" x14ac:dyDescent="0.2">
      <c r="A127" s="11">
        <v>173</v>
      </c>
      <c r="B127" s="11">
        <f>IF(Open[[#This Row],[PR Rang beim letzten Turnier]]&gt;Open[[#This Row],[PR Rang]],1,IF(Open[[#This Row],[PR Rang beim letzten Turnier]]=Open[[#This Row],[PR Rang]],0,-1))</f>
        <v>1</v>
      </c>
      <c r="C127" s="147">
        <f>RANK(Open[[#This Row],[PR Punkte]],Open[PR Punkte],0)</f>
        <v>121</v>
      </c>
      <c r="D127" s="14" t="s">
        <v>168</v>
      </c>
      <c r="E127" s="9" t="s">
        <v>8</v>
      </c>
      <c r="F127" s="109">
        <f>SUM(Open[[#This Row],[PR 1]:[PR 3]])</f>
        <v>70</v>
      </c>
      <c r="G127" s="109">
        <f>LARGE(Open[[#This Row],[TS SH O 22.02.22]:[PR3]],1)</f>
        <v>70</v>
      </c>
      <c r="H127" s="109">
        <f>LARGE(Open[[#This Row],[TS SH O 22.02.22]:[PR3]],2)</f>
        <v>0</v>
      </c>
      <c r="I127" s="109">
        <f>LARGE(Open[[#This Row],[TS SH O 22.02.22]:[PR3]],3)</f>
        <v>0</v>
      </c>
      <c r="J127" s="9">
        <f>RANK(K127,$K$7:$K$295,0)</f>
        <v>121</v>
      </c>
      <c r="K127" s="109">
        <f>SUM(L127:W127)</f>
        <v>70</v>
      </c>
      <c r="L127" s="109" t="str">
        <f>IFERROR(VLOOKUP(Open[[#This Row],[TS SH 22.02.22 Rang]],$AJ$16:$AK$111,2,0)*L$5," ")</f>
        <v xml:space="preserve"> </v>
      </c>
      <c r="M127" s="109" t="str">
        <f>IFERROR(VLOOKUP(Open[[#This Row],[TS SH O 23.04.22 Rang]],$AJ$16:$AK$111,2,0)*M$5," ")</f>
        <v xml:space="preserve"> </v>
      </c>
      <c r="N127" s="109" t="str">
        <f>IFERROR(VLOOKUP(Open[[#This Row],[TS LA O 08.05.22 Rang]],$AJ$16:$AK$111,2,0)*N$5," ")</f>
        <v xml:space="preserve"> </v>
      </c>
      <c r="O127" s="109" t="str">
        <f>IFERROR(VLOOKUP(Open[[#This Row],[TS SG O 25.05.22 Rang]],$AJ$16:$AK$111,2,0)*O$5," ")</f>
        <v xml:space="preserve"> </v>
      </c>
      <c r="P127" s="109" t="str">
        <f>IFERROR(VLOOKUP(Open[[#This Row],[TS SH O 25.06.22 Rang]],$AJ$16:$AK$111,2,0)*P$5," ")</f>
        <v xml:space="preserve"> </v>
      </c>
      <c r="Q127" s="109" t="str">
        <f>IFERROR(VLOOKUP(Open[[#This Row],[TS ZH O/A 25.06.22 Rang]],$AJ$16:$AK$111,2,0)*Q$5," ")</f>
        <v xml:space="preserve"> </v>
      </c>
      <c r="R127" s="109" t="str">
        <f>IFERROR(VLOOKUP(Open[[#This Row],[TS ZH O/B 25.06.22 Rang]],$AJ$16:$AK$111,2,0)*R$5," ")</f>
        <v xml:space="preserve"> </v>
      </c>
      <c r="S127" s="109" t="str">
        <f>IFERROR(VLOOKUP(Open[[#This Row],[SM BE O/A 09.07.22 Rang]],$AJ$16:$AK$111,2,0)*S$5," ")</f>
        <v xml:space="preserve"> </v>
      </c>
      <c r="T127" s="109">
        <f>IFERROR(VLOOKUP(Open[[#This Row],[SM BE O/B 09.07.22 Rang]],$AJ$16:$AK$111,2,0)*T$5," ")</f>
        <v>70</v>
      </c>
      <c r="U127" s="11">
        <v>0</v>
      </c>
      <c r="V127" s="11">
        <v>0</v>
      </c>
      <c r="W127" s="11">
        <v>0</v>
      </c>
      <c r="X127" s="129"/>
      <c r="Y127" s="191"/>
      <c r="Z127" s="191"/>
      <c r="AA127" s="191"/>
      <c r="AB127" s="191"/>
      <c r="AC127" s="191"/>
      <c r="AD127" s="191"/>
      <c r="AE127" s="191"/>
      <c r="AF127" s="191">
        <v>3</v>
      </c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BB127" s="4"/>
      <c r="BC127" s="4"/>
      <c r="BD127" s="4"/>
      <c r="BE127" s="4"/>
      <c r="BF127" s="4"/>
      <c r="BG127" s="4"/>
      <c r="BH127" s="4"/>
      <c r="BI127" s="4"/>
    </row>
    <row r="128" spans="1:61" x14ac:dyDescent="0.2">
      <c r="A128" s="86">
        <v>173</v>
      </c>
      <c r="B128" s="11">
        <f>IF(Open[[#This Row],[PR Rang beim letzten Turnier]]&gt;Open[[#This Row],[PR Rang]],1,IF(Open[[#This Row],[PR Rang beim letzten Turnier]]=Open[[#This Row],[PR Rang]],0,-1))</f>
        <v>1</v>
      </c>
      <c r="C128" s="194">
        <f>RANK(Open[[#This Row],[PR Punkte]],Open[PR Punkte],0)</f>
        <v>121</v>
      </c>
      <c r="D128" s="33" t="s">
        <v>646</v>
      </c>
      <c r="E128" s="11" t="s">
        <v>8</v>
      </c>
      <c r="F128" s="195">
        <f>SUM(Open[[#This Row],[PR 1]:[PR 3]])</f>
        <v>70</v>
      </c>
      <c r="G128" s="109">
        <f>LARGE(Open[[#This Row],[TS SH O 22.02.22]:[PR3]],1)</f>
        <v>70</v>
      </c>
      <c r="H128" s="109">
        <f>LARGE(Open[[#This Row],[TS SH O 22.02.22]:[PR3]],2)</f>
        <v>0</v>
      </c>
      <c r="I128" s="109">
        <f>LARGE(Open[[#This Row],[TS SH O 22.02.22]:[PR3]],3)</f>
        <v>0</v>
      </c>
      <c r="J128" s="196">
        <f>RANK(K128,$K$7:$K$361,0)</f>
        <v>121</v>
      </c>
      <c r="K128" s="109">
        <f>SUM(L128:W128)</f>
        <v>70</v>
      </c>
      <c r="L128" s="109"/>
      <c r="M128" s="109" t="str">
        <f>IFERROR(VLOOKUP(Open[[#This Row],[TS SH O 23.04.22 Rang]],$AJ$16:$AK$111,2,0)*M$5," ")</f>
        <v xml:space="preserve"> </v>
      </c>
      <c r="N128" s="109" t="str">
        <f>IFERROR(VLOOKUP(Open[[#This Row],[TS LA O 08.05.22 Rang]],$AJ$16:$AK$111,2,0)*N$5," ")</f>
        <v xml:space="preserve"> </v>
      </c>
      <c r="O128" s="109" t="str">
        <f>IFERROR(VLOOKUP(Open[[#This Row],[TS SG O 25.05.22 Rang]],$AJ$16:$AK$111,2,0)*O$5," ")</f>
        <v xml:space="preserve"> </v>
      </c>
      <c r="P128" s="109" t="str">
        <f>IFERROR(VLOOKUP(Open[[#This Row],[TS SH O 25.06.22 Rang]],$AJ$16:$AK$111,2,0)*P$5," ")</f>
        <v xml:space="preserve"> </v>
      </c>
      <c r="Q128" s="109" t="str">
        <f>IFERROR(VLOOKUP(Open[[#This Row],[TS ZH O/A 25.06.22 Rang]],$AJ$16:$AK$111,2,0)*Q$5," ")</f>
        <v xml:space="preserve"> </v>
      </c>
      <c r="R128" s="109" t="str">
        <f>IFERROR(VLOOKUP(Open[[#This Row],[TS ZH O/B 25.06.22 Rang]],$AJ$16:$AK$111,2,0)*R$5," ")</f>
        <v xml:space="preserve"> </v>
      </c>
      <c r="S128" s="109" t="str">
        <f>IFERROR(VLOOKUP(Open[[#This Row],[SM BE O/A 09.07.22 Rang]],$AJ$16:$AK$111,2,0)*S$5," ")</f>
        <v xml:space="preserve"> </v>
      </c>
      <c r="T128" s="109">
        <f>IFERROR(VLOOKUP(Open[[#This Row],[SM BE O/B 09.07.22 Rang]],$AJ$16:$AK$111,2,0)*T$5," ")</f>
        <v>70</v>
      </c>
      <c r="U128" s="11">
        <v>0</v>
      </c>
      <c r="V128" s="11">
        <v>0</v>
      </c>
      <c r="W128" s="11">
        <v>0</v>
      </c>
      <c r="X128" s="129"/>
      <c r="Y128" s="191"/>
      <c r="Z128" s="191"/>
      <c r="AA128" s="191"/>
      <c r="AB128" s="191"/>
      <c r="AC128" s="191"/>
      <c r="AD128" s="191"/>
      <c r="AE128" s="191"/>
      <c r="AF128" s="191">
        <v>3</v>
      </c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BB128" s="4"/>
      <c r="BC128" s="4"/>
      <c r="BD128" s="4"/>
      <c r="BE128" s="4"/>
      <c r="BF128" s="4"/>
      <c r="BG128" s="4"/>
      <c r="BH128" s="4"/>
      <c r="BI128" s="4"/>
    </row>
    <row r="129" spans="1:61" x14ac:dyDescent="0.2">
      <c r="A129" s="11">
        <v>173</v>
      </c>
      <c r="B129" s="11">
        <f>IF(Open[[#This Row],[PR Rang beim letzten Turnier]]&gt;Open[[#This Row],[PR Rang]],1,IF(Open[[#This Row],[PR Rang beim letzten Turnier]]=Open[[#This Row],[PR Rang]],0,-1))</f>
        <v>1</v>
      </c>
      <c r="C129" s="147">
        <f>RANK(Open[[#This Row],[PR Punkte]],Open[PR Punkte],0)</f>
        <v>123</v>
      </c>
      <c r="D129" s="31" t="s">
        <v>57</v>
      </c>
      <c r="E129" s="9" t="s">
        <v>9</v>
      </c>
      <c r="F129" s="109">
        <f>SUM(Open[[#This Row],[PR 1]:[PR 3]])</f>
        <v>62.400000000000006</v>
      </c>
      <c r="G129" s="109">
        <f>LARGE(Open[[#This Row],[TS SH O 22.02.22]:[PR3]],1)</f>
        <v>62.400000000000006</v>
      </c>
      <c r="H129" s="109">
        <f>LARGE(Open[[#This Row],[TS SH O 22.02.22]:[PR3]],2)</f>
        <v>0</v>
      </c>
      <c r="I129" s="109">
        <f>LARGE(Open[[#This Row],[TS SH O 22.02.22]:[PR3]],3)</f>
        <v>0</v>
      </c>
      <c r="J129" s="9">
        <f>RANK(K129,$K$7:$K$295,0)</f>
        <v>123</v>
      </c>
      <c r="K129" s="109">
        <f>SUM(L129:W129)</f>
        <v>62.400000000000006</v>
      </c>
      <c r="L129" s="109" t="str">
        <f>IFERROR(VLOOKUP(Open[[#This Row],[TS SH 22.02.22 Rang]],$AJ$16:$AK$111,2,0)*L$5," ")</f>
        <v xml:space="preserve"> </v>
      </c>
      <c r="M129" s="109" t="str">
        <f>IFERROR(VLOOKUP(Open[[#This Row],[TS SH O 23.04.22 Rang]],$AJ$16:$AK$111,2,0)*M$5," ")</f>
        <v xml:space="preserve"> </v>
      </c>
      <c r="N129" s="109" t="str">
        <f>IFERROR(VLOOKUP(Open[[#This Row],[TS LA O 08.05.22 Rang]],$AJ$16:$AK$111,2,0)*N$5," ")</f>
        <v xml:space="preserve"> </v>
      </c>
      <c r="O129" s="109" t="str">
        <f>IFERROR(VLOOKUP(Open[[#This Row],[TS SG O 25.05.22 Rang]],$AJ$16:$AK$111,2,0)*O$5," ")</f>
        <v xml:space="preserve"> </v>
      </c>
      <c r="P129" s="109" t="str">
        <f>IFERROR(VLOOKUP(Open[[#This Row],[TS SH O 25.06.22 Rang]],$AJ$16:$AK$111,2,0)*P$5," ")</f>
        <v xml:space="preserve"> </v>
      </c>
      <c r="Q129" s="109" t="str">
        <f>IFERROR(VLOOKUP(Open[[#This Row],[TS ZH O/A 25.06.22 Rang]],$AJ$16:$AK$111,2,0)*Q$5," ")</f>
        <v xml:space="preserve"> </v>
      </c>
      <c r="R129" s="109" t="str">
        <f>IFERROR(VLOOKUP(Open[[#This Row],[TS ZH O/B 25.06.22 Rang]],$AJ$16:$AK$111,2,0)*R$5," ")</f>
        <v xml:space="preserve"> </v>
      </c>
      <c r="S129" s="109">
        <f>IFERROR(VLOOKUP(Open[[#This Row],[SM BE O/A 09.07.22 Rang]],$AJ$16:$AK$111,2,0)*S$5," ")</f>
        <v>62.400000000000006</v>
      </c>
      <c r="T129" s="109" t="str">
        <f>IFERROR(VLOOKUP(Open[[#This Row],[SM BE O/B 09.07.22 Rang]],$AJ$16:$AK$111,2,0)*T$5," ")</f>
        <v xml:space="preserve"> </v>
      </c>
      <c r="U129" s="11">
        <v>0</v>
      </c>
      <c r="V129" s="11">
        <v>0</v>
      </c>
      <c r="W129" s="11">
        <v>0</v>
      </c>
      <c r="X129" s="129"/>
      <c r="Y129" s="191"/>
      <c r="Z129" s="191"/>
      <c r="AA129" s="191"/>
      <c r="AB129" s="191"/>
      <c r="AC129" s="191"/>
      <c r="AD129" s="191"/>
      <c r="AE129" s="191">
        <v>28</v>
      </c>
      <c r="AF129" s="191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BB129" s="4"/>
      <c r="BC129" s="4"/>
      <c r="BD129" s="4"/>
      <c r="BE129" s="4"/>
      <c r="BF129" s="4"/>
      <c r="BG129" s="4"/>
      <c r="BH129" s="4"/>
      <c r="BI129" s="4"/>
    </row>
    <row r="130" spans="1:61" x14ac:dyDescent="0.2">
      <c r="A130" s="11">
        <v>173</v>
      </c>
      <c r="B130" s="11">
        <f>IF(Open[[#This Row],[PR Rang beim letzten Turnier]]&gt;Open[[#This Row],[PR Rang]],1,IF(Open[[#This Row],[PR Rang beim letzten Turnier]]=Open[[#This Row],[PR Rang]],0,-1))</f>
        <v>1</v>
      </c>
      <c r="C130" s="147">
        <f>RANK(Open[[#This Row],[PR Punkte]],Open[PR Punkte],0)</f>
        <v>123</v>
      </c>
      <c r="D130" s="31" t="s">
        <v>58</v>
      </c>
      <c r="E130" s="9" t="s">
        <v>9</v>
      </c>
      <c r="F130" s="109">
        <f>SUM(Open[[#This Row],[PR 1]:[PR 3]])</f>
        <v>62.400000000000006</v>
      </c>
      <c r="G130" s="109">
        <f>LARGE(Open[[#This Row],[TS SH O 22.02.22]:[PR3]],1)</f>
        <v>62.400000000000006</v>
      </c>
      <c r="H130" s="109">
        <f>LARGE(Open[[#This Row],[TS SH O 22.02.22]:[PR3]],2)</f>
        <v>0</v>
      </c>
      <c r="I130" s="109">
        <f>LARGE(Open[[#This Row],[TS SH O 22.02.22]:[PR3]],3)</f>
        <v>0</v>
      </c>
      <c r="J130" s="9">
        <f>RANK(K130,$K$7:$K$295,0)</f>
        <v>123</v>
      </c>
      <c r="K130" s="109">
        <f>SUM(L130:W130)</f>
        <v>62.400000000000006</v>
      </c>
      <c r="L130" s="109" t="str">
        <f>IFERROR(VLOOKUP(Open[[#This Row],[TS SH 22.02.22 Rang]],$AJ$16:$AK$111,2,0)*L$5," ")</f>
        <v xml:space="preserve"> </v>
      </c>
      <c r="M130" s="109" t="str">
        <f>IFERROR(VLOOKUP(Open[[#This Row],[TS SH O 23.04.22 Rang]],$AJ$16:$AK$111,2,0)*M$5," ")</f>
        <v xml:space="preserve"> </v>
      </c>
      <c r="N130" s="109" t="str">
        <f>IFERROR(VLOOKUP(Open[[#This Row],[TS LA O 08.05.22 Rang]],$AJ$16:$AK$111,2,0)*N$5," ")</f>
        <v xml:space="preserve"> </v>
      </c>
      <c r="O130" s="109" t="str">
        <f>IFERROR(VLOOKUP(Open[[#This Row],[TS SG O 25.05.22 Rang]],$AJ$16:$AK$111,2,0)*O$5," ")</f>
        <v xml:space="preserve"> </v>
      </c>
      <c r="P130" s="109" t="str">
        <f>IFERROR(VLOOKUP(Open[[#This Row],[TS SH O 25.06.22 Rang]],$AJ$16:$AK$111,2,0)*P$5," ")</f>
        <v xml:space="preserve"> </v>
      </c>
      <c r="Q130" s="109" t="str">
        <f>IFERROR(VLOOKUP(Open[[#This Row],[TS ZH O/A 25.06.22 Rang]],$AJ$16:$AK$111,2,0)*Q$5," ")</f>
        <v xml:space="preserve"> </v>
      </c>
      <c r="R130" s="109" t="str">
        <f>IFERROR(VLOOKUP(Open[[#This Row],[TS ZH O/B 25.06.22 Rang]],$AJ$16:$AK$111,2,0)*R$5," ")</f>
        <v xml:space="preserve"> </v>
      </c>
      <c r="S130" s="109">
        <f>IFERROR(VLOOKUP(Open[[#This Row],[SM BE O/A 09.07.22 Rang]],$AJ$16:$AK$111,2,0)*S$5," ")</f>
        <v>62.400000000000006</v>
      </c>
      <c r="T130" s="109" t="str">
        <f>IFERROR(VLOOKUP(Open[[#This Row],[SM BE O/B 09.07.22 Rang]],$AJ$16:$AK$111,2,0)*T$5," ")</f>
        <v xml:space="preserve"> </v>
      </c>
      <c r="U130" s="11">
        <v>0</v>
      </c>
      <c r="V130" s="11">
        <v>0</v>
      </c>
      <c r="W130" s="11">
        <v>0</v>
      </c>
      <c r="X130" s="129"/>
      <c r="Y130" s="191"/>
      <c r="Z130" s="191"/>
      <c r="AA130" s="191"/>
      <c r="AB130" s="191"/>
      <c r="AC130" s="191"/>
      <c r="AD130" s="191"/>
      <c r="AE130" s="191">
        <v>28</v>
      </c>
      <c r="AF130" s="191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BB130" s="4"/>
      <c r="BC130" s="4"/>
      <c r="BD130" s="4"/>
      <c r="BE130" s="4"/>
      <c r="BF130" s="4"/>
      <c r="BG130" s="4"/>
      <c r="BH130" s="4"/>
      <c r="BI130" s="4"/>
    </row>
    <row r="131" spans="1:61" x14ac:dyDescent="0.2">
      <c r="A131" s="11">
        <v>173</v>
      </c>
      <c r="B131" s="11">
        <f>IF(Open[[#This Row],[PR Rang beim letzten Turnier]]&gt;Open[[#This Row],[PR Rang]],1,IF(Open[[#This Row],[PR Rang beim letzten Turnier]]=Open[[#This Row],[PR Rang]],0,-1))</f>
        <v>1</v>
      </c>
      <c r="C131" s="147">
        <f>RANK(Open[[#This Row],[PR Punkte]],Open[PR Punkte],0)</f>
        <v>123</v>
      </c>
      <c r="D131" s="15" t="s">
        <v>379</v>
      </c>
      <c r="E131" s="31" t="s">
        <v>380</v>
      </c>
      <c r="F131" s="109">
        <f>SUM(Open[[#This Row],[PR 1]:[PR 3]])</f>
        <v>62.400000000000006</v>
      </c>
      <c r="G131" s="109">
        <f>LARGE(Open[[#This Row],[TS SH O 22.02.22]:[PR3]],1)</f>
        <v>62.400000000000006</v>
      </c>
      <c r="H131" s="109">
        <f>LARGE(Open[[#This Row],[TS SH O 22.02.22]:[PR3]],2)</f>
        <v>0</v>
      </c>
      <c r="I131" s="109">
        <f>LARGE(Open[[#This Row],[TS SH O 22.02.22]:[PR3]],3)</f>
        <v>0</v>
      </c>
      <c r="J131" s="31">
        <f>RANK(K131,$K$7:$K$295,0)</f>
        <v>123</v>
      </c>
      <c r="K131" s="109">
        <f>SUM(L131:W131)</f>
        <v>62.400000000000006</v>
      </c>
      <c r="L131" s="109" t="str">
        <f>IFERROR(VLOOKUP(Open[[#This Row],[TS SH 22.02.22 Rang]],$AJ$16:$AK$111,2,0)*L$5," ")</f>
        <v xml:space="preserve"> </v>
      </c>
      <c r="M131" s="109" t="str">
        <f>IFERROR(VLOOKUP(Open[[#This Row],[TS SH O 23.04.22 Rang]],$AJ$16:$AK$111,2,0)*M$5," ")</f>
        <v xml:space="preserve"> </v>
      </c>
      <c r="N131" s="109" t="str">
        <f>IFERROR(VLOOKUP(Open[[#This Row],[TS LA O 08.05.22 Rang]],$AJ$16:$AK$111,2,0)*N$5," ")</f>
        <v xml:space="preserve"> </v>
      </c>
      <c r="O131" s="109" t="str">
        <f>IFERROR(VLOOKUP(Open[[#This Row],[TS SG O 25.05.22 Rang]],$AJ$16:$AK$111,2,0)*O$5," ")</f>
        <v xml:space="preserve"> </v>
      </c>
      <c r="P131" s="109" t="str">
        <f>IFERROR(VLOOKUP(Open[[#This Row],[TS SH O 25.06.22 Rang]],$AJ$16:$AK$111,2,0)*P$5," ")</f>
        <v xml:space="preserve"> </v>
      </c>
      <c r="Q131" s="109" t="str">
        <f>IFERROR(VLOOKUP(Open[[#This Row],[TS ZH O/A 25.06.22 Rang]],$AJ$16:$AK$111,2,0)*Q$5," ")</f>
        <v xml:space="preserve"> </v>
      </c>
      <c r="R131" s="109" t="str">
        <f>IFERROR(VLOOKUP(Open[[#This Row],[TS ZH O/B 25.06.22 Rang]],$AJ$16:$AK$111,2,0)*R$5," ")</f>
        <v xml:space="preserve"> </v>
      </c>
      <c r="S131" s="109">
        <f>IFERROR(VLOOKUP(Open[[#This Row],[SM BE O/A 09.07.22 Rang]],$AJ$16:$AK$111,2,0)*S$5," ")</f>
        <v>62.400000000000006</v>
      </c>
      <c r="T131" s="109" t="str">
        <f>IFERROR(VLOOKUP(Open[[#This Row],[SM BE O/B 09.07.22 Rang]],$AJ$16:$AK$111,2,0)*T$5," ")</f>
        <v xml:space="preserve"> </v>
      </c>
      <c r="U131" s="11">
        <v>0</v>
      </c>
      <c r="V131" s="11">
        <v>0</v>
      </c>
      <c r="W131" s="11">
        <v>0</v>
      </c>
      <c r="X131" s="129"/>
      <c r="Y131" s="191"/>
      <c r="Z131" s="191"/>
      <c r="AA131" s="191"/>
      <c r="AB131" s="191"/>
      <c r="AC131" s="191"/>
      <c r="AD131" s="191"/>
      <c r="AE131" s="191">
        <v>19</v>
      </c>
      <c r="AF131" s="191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BB131" s="4"/>
      <c r="BC131" s="4"/>
      <c r="BD131" s="4"/>
      <c r="BE131" s="4"/>
      <c r="BF131" s="4"/>
      <c r="BG131" s="4"/>
      <c r="BH131" s="4"/>
      <c r="BI131" s="4"/>
    </row>
    <row r="132" spans="1:61" x14ac:dyDescent="0.2">
      <c r="A132" s="17">
        <v>115</v>
      </c>
      <c r="B132" s="17">
        <f>IF(Open[[#This Row],[PR Rang beim letzten Turnier]]&gt;Open[[#This Row],[PR Rang]],1,IF(Open[[#This Row],[PR Rang beim letzten Turnier]]=Open[[#This Row],[PR Rang]],0,-1))</f>
        <v>-1</v>
      </c>
      <c r="C132" s="112">
        <f>RANK(Open[[#This Row],[PR Punkte]],Open[PR Punkte],0)</f>
        <v>126</v>
      </c>
      <c r="D132" s="160" t="s">
        <v>127</v>
      </c>
      <c r="E132" s="11" t="s">
        <v>8</v>
      </c>
      <c r="F132" s="109">
        <f>SUM(Open[[#This Row],[PR 1]:[PR 3]])</f>
        <v>58.199999999999996</v>
      </c>
      <c r="G132" s="109">
        <f>LARGE(Open[[#This Row],[TS SH O 22.02.22]:[PR3]],1)</f>
        <v>58.199999999999996</v>
      </c>
      <c r="H132" s="109">
        <f>LARGE(Open[[#This Row],[TS SH O 22.02.22]:[PR3]],2)</f>
        <v>0</v>
      </c>
      <c r="I132" s="109">
        <f>LARGE(Open[[#This Row],[TS SH O 22.02.22]:[PR3]],3)</f>
        <v>0</v>
      </c>
      <c r="J132" s="11">
        <f>RANK(K132,$K$7:$K$295,0)</f>
        <v>126</v>
      </c>
      <c r="K132" s="109">
        <f>SUM(L132:W132)</f>
        <v>58.199999999999996</v>
      </c>
      <c r="L132" s="109">
        <f>IFERROR(VLOOKUP(Open[[#This Row],[TS SH 22.02.22 Rang]],$AJ$16:$AK$111,2,0)*L$5," ")</f>
        <v>58.199999999999996</v>
      </c>
      <c r="M132" s="109" t="str">
        <f>IFERROR(VLOOKUP(Open[[#This Row],[TS SH O 23.04.22 Rang]],$AJ$16:$AK$111,2,0)*M$5," ")</f>
        <v xml:space="preserve"> </v>
      </c>
      <c r="N132" s="109" t="str">
        <f>IFERROR(VLOOKUP(Open[[#This Row],[TS LA O 08.05.22 Rang]],$AJ$16:$AK$111,2,0)*N$5," ")</f>
        <v xml:space="preserve"> </v>
      </c>
      <c r="O132" s="109" t="str">
        <f>IFERROR(VLOOKUP(Open[[#This Row],[TS SG O 25.05.22 Rang]],$AJ$16:$AK$111,2,0)*O$5," ")</f>
        <v xml:space="preserve"> </v>
      </c>
      <c r="P132" s="109" t="str">
        <f>IFERROR(VLOOKUP(Open[[#This Row],[TS SH O 25.06.22 Rang]],$AJ$16:$AK$111,2,0)*P$5," ")</f>
        <v xml:space="preserve"> </v>
      </c>
      <c r="Q132" s="109" t="str">
        <f>IFERROR(VLOOKUP(Open[[#This Row],[TS ZH O/A 25.06.22 Rang]],$AJ$16:$AK$111,2,0)*Q$5," ")</f>
        <v xml:space="preserve"> </v>
      </c>
      <c r="R132" s="109" t="str">
        <f>IFERROR(VLOOKUP(Open[[#This Row],[TS ZH O/B 25.06.22 Rang]],$AJ$16:$AK$111,2,0)*R$5," ")</f>
        <v xml:space="preserve"> </v>
      </c>
      <c r="S132" s="109" t="str">
        <f>IFERROR(VLOOKUP(Open[[#This Row],[SM BE O/A 09.07.22 Rang]],$AJ$16:$AK$111,2,0)*S$5," ")</f>
        <v xml:space="preserve"> </v>
      </c>
      <c r="T132" s="109" t="str">
        <f>IFERROR(VLOOKUP(Open[[#This Row],[SM BE O/B 09.07.22 Rang]],$AJ$16:$AK$111,2,0)*T$5," ")</f>
        <v xml:space="preserve"> </v>
      </c>
      <c r="U132" s="11">
        <v>0</v>
      </c>
      <c r="V132" s="11">
        <v>0</v>
      </c>
      <c r="W132" s="11">
        <v>0</v>
      </c>
      <c r="X132" s="122">
        <v>18</v>
      </c>
      <c r="Y132" s="191"/>
      <c r="Z132" s="191"/>
      <c r="AA132" s="191"/>
      <c r="AB132" s="191"/>
      <c r="AC132" s="191"/>
      <c r="AD132" s="191"/>
      <c r="AE132" s="191"/>
      <c r="AF132" s="191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BB132" s="4"/>
      <c r="BC132" s="4"/>
      <c r="BD132" s="4"/>
      <c r="BE132" s="4"/>
      <c r="BF132" s="4"/>
      <c r="BG132" s="4"/>
      <c r="BH132" s="4"/>
      <c r="BI132" s="4"/>
    </row>
    <row r="133" spans="1:61" x14ac:dyDescent="0.2">
      <c r="A133" s="11">
        <v>115</v>
      </c>
      <c r="B133" s="11">
        <f>IF(Open[[#This Row],[PR Rang beim letzten Turnier]]&gt;Open[[#This Row],[PR Rang]],1,IF(Open[[#This Row],[PR Rang beim letzten Turnier]]=Open[[#This Row],[PR Rang]],0,-1))</f>
        <v>-1</v>
      </c>
      <c r="C133" s="147">
        <f>RANK(Open[[#This Row],[PR Punkte]],Open[PR Punkte],0)</f>
        <v>126</v>
      </c>
      <c r="D133" s="25" t="s">
        <v>315</v>
      </c>
      <c r="E133" s="160" t="s">
        <v>18</v>
      </c>
      <c r="F133" s="109">
        <f>SUM(Open[[#This Row],[PR 1]:[PR 3]])</f>
        <v>58.199999999999996</v>
      </c>
      <c r="G133" s="109">
        <f>LARGE(Open[[#This Row],[TS SH O 22.02.22]:[PR3]],1)</f>
        <v>58.199999999999996</v>
      </c>
      <c r="H133" s="109">
        <f>LARGE(Open[[#This Row],[TS SH O 22.02.22]:[PR3]],2)</f>
        <v>0</v>
      </c>
      <c r="I133" s="109">
        <f>LARGE(Open[[#This Row],[TS SH O 22.02.22]:[PR3]],3)</f>
        <v>0</v>
      </c>
      <c r="J133" s="160">
        <f>RANK(K133,$K$7:$K$295,0)</f>
        <v>126</v>
      </c>
      <c r="K133" s="109">
        <f>SUM(L133:W133)</f>
        <v>58.199999999999996</v>
      </c>
      <c r="L133" s="109">
        <f>IFERROR(VLOOKUP(Open[[#This Row],[TS SH 22.02.22 Rang]],$AJ$16:$AK$111,2,0)*L$5," ")</f>
        <v>58.199999999999996</v>
      </c>
      <c r="M133" s="109" t="str">
        <f>IFERROR(VLOOKUP(Open[[#This Row],[TS SH O 23.04.22 Rang]],$AJ$16:$AK$111,2,0)*M$5," ")</f>
        <v xml:space="preserve"> </v>
      </c>
      <c r="N133" s="109" t="str">
        <f>IFERROR(VLOOKUP(Open[[#This Row],[TS LA O 08.05.22 Rang]],$AJ$16:$AK$111,2,0)*N$5," ")</f>
        <v xml:space="preserve"> </v>
      </c>
      <c r="O133" s="109" t="str">
        <f>IFERROR(VLOOKUP(Open[[#This Row],[TS SG O 25.05.22 Rang]],$AJ$16:$AK$111,2,0)*O$5," ")</f>
        <v xml:space="preserve"> </v>
      </c>
      <c r="P133" s="109" t="str">
        <f>IFERROR(VLOOKUP(Open[[#This Row],[TS SH O 25.06.22 Rang]],$AJ$16:$AK$111,2,0)*P$5," ")</f>
        <v xml:space="preserve"> </v>
      </c>
      <c r="Q133" s="109" t="str">
        <f>IFERROR(VLOOKUP(Open[[#This Row],[TS ZH O/A 25.06.22 Rang]],$AJ$16:$AK$111,2,0)*Q$5," ")</f>
        <v xml:space="preserve"> </v>
      </c>
      <c r="R133" s="109" t="str">
        <f>IFERROR(VLOOKUP(Open[[#This Row],[TS ZH O/B 25.06.22 Rang]],$AJ$16:$AK$111,2,0)*R$5," ")</f>
        <v xml:space="preserve"> </v>
      </c>
      <c r="S133" s="109" t="str">
        <f>IFERROR(VLOOKUP(Open[[#This Row],[SM BE O/A 09.07.22 Rang]],$AJ$16:$AK$111,2,0)*S$5," ")</f>
        <v xml:space="preserve"> </v>
      </c>
      <c r="T133" s="109" t="str">
        <f>IFERROR(VLOOKUP(Open[[#This Row],[SM BE O/B 09.07.22 Rang]],$AJ$16:$AK$111,2,0)*T$5," ")</f>
        <v xml:space="preserve"> </v>
      </c>
      <c r="U133" s="11">
        <v>0</v>
      </c>
      <c r="V133" s="11">
        <v>0</v>
      </c>
      <c r="W133" s="11">
        <v>0</v>
      </c>
      <c r="X133" s="129">
        <v>22</v>
      </c>
      <c r="Y133" s="191"/>
      <c r="Z133" s="191"/>
      <c r="AA133" s="191"/>
      <c r="AB133" s="191"/>
      <c r="AC133" s="191"/>
      <c r="AD133" s="191"/>
      <c r="AE133" s="191"/>
      <c r="AF133" s="191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BB133" s="4"/>
      <c r="BC133" s="4"/>
      <c r="BD133" s="4"/>
      <c r="BE133" s="4"/>
      <c r="BF133" s="4"/>
      <c r="BG133" s="4"/>
      <c r="BH133" s="4"/>
      <c r="BI133" s="4"/>
    </row>
    <row r="134" spans="1:61" x14ac:dyDescent="0.2">
      <c r="A134" s="11">
        <v>173</v>
      </c>
      <c r="B134" s="11">
        <f>IF(Open[[#This Row],[PR Rang beim letzten Turnier]]&gt;Open[[#This Row],[PR Rang]],1,IF(Open[[#This Row],[PR Rang beim letzten Turnier]]=Open[[#This Row],[PR Rang]],0,-1))</f>
        <v>1</v>
      </c>
      <c r="C134" s="147">
        <f>RANK(Open[[#This Row],[PR Punkte]],Open[PR Punkte],0)</f>
        <v>128</v>
      </c>
      <c r="D134" s="25" t="s">
        <v>240</v>
      </c>
      <c r="E134" s="31" t="s">
        <v>11</v>
      </c>
      <c r="F134" s="109">
        <f>SUM(Open[[#This Row],[PR 1]:[PR 3]])</f>
        <v>50</v>
      </c>
      <c r="G134" s="109">
        <f>LARGE(Open[[#This Row],[TS SH O 22.02.22]:[PR3]],1)</f>
        <v>50</v>
      </c>
      <c r="H134" s="109">
        <f>LARGE(Open[[#This Row],[TS SH O 22.02.22]:[PR3]],2)</f>
        <v>0</v>
      </c>
      <c r="I134" s="109">
        <f>LARGE(Open[[#This Row],[TS SH O 22.02.22]:[PR3]],3)</f>
        <v>0</v>
      </c>
      <c r="J134" s="31">
        <f>RANK(K134,$K$7:$K$295,0)</f>
        <v>128</v>
      </c>
      <c r="K134" s="109">
        <f>SUM(L134:W134)</f>
        <v>50</v>
      </c>
      <c r="L134" s="109" t="str">
        <f>IFERROR(VLOOKUP(Open[[#This Row],[TS SH 22.02.22 Rang]],$AJ$16:$AK$111,2,0)*L$5," ")</f>
        <v xml:space="preserve"> </v>
      </c>
      <c r="M134" s="109" t="str">
        <f>IFERROR(VLOOKUP(Open[[#This Row],[TS SH O 23.04.22 Rang]],$AJ$16:$AK$111,2,0)*M$5," ")</f>
        <v xml:space="preserve"> </v>
      </c>
      <c r="N134" s="109" t="str">
        <f>IFERROR(VLOOKUP(Open[[#This Row],[TS LA O 08.05.22 Rang]],$AJ$16:$AK$111,2,0)*N$5," ")</f>
        <v xml:space="preserve"> </v>
      </c>
      <c r="O134" s="109" t="str">
        <f>IFERROR(VLOOKUP(Open[[#This Row],[TS SG O 25.05.22 Rang]],$AJ$16:$AK$111,2,0)*O$5," ")</f>
        <v xml:space="preserve"> </v>
      </c>
      <c r="P134" s="109" t="str">
        <f>IFERROR(VLOOKUP(Open[[#This Row],[TS SH O 25.06.22 Rang]],$AJ$16:$AK$111,2,0)*P$5," ")</f>
        <v xml:space="preserve"> </v>
      </c>
      <c r="Q134" s="109" t="str">
        <f>IFERROR(VLOOKUP(Open[[#This Row],[TS ZH O/A 25.06.22 Rang]],$AJ$16:$AK$111,2,0)*Q$5," ")</f>
        <v xml:space="preserve"> </v>
      </c>
      <c r="R134" s="109" t="str">
        <f>IFERROR(VLOOKUP(Open[[#This Row],[TS ZH O/B 25.06.22 Rang]],$AJ$16:$AK$111,2,0)*R$5," ")</f>
        <v xml:space="preserve"> </v>
      </c>
      <c r="S134" s="109" t="str">
        <f>IFERROR(VLOOKUP(Open[[#This Row],[SM BE O/A 09.07.22 Rang]],$AJ$16:$AK$111,2,0)*S$5," ")</f>
        <v xml:space="preserve"> </v>
      </c>
      <c r="T134" s="109">
        <f>IFERROR(VLOOKUP(Open[[#This Row],[SM BE O/B 09.07.22 Rang]],$AJ$16:$AK$111,2,0)*T$5," ")</f>
        <v>50</v>
      </c>
      <c r="U134" s="11">
        <v>0</v>
      </c>
      <c r="V134" s="11">
        <v>0</v>
      </c>
      <c r="W134" s="11">
        <v>0</v>
      </c>
      <c r="X134" s="129"/>
      <c r="Y134" s="191"/>
      <c r="Z134" s="191"/>
      <c r="AA134" s="191"/>
      <c r="AB134" s="191"/>
      <c r="AC134" s="191"/>
      <c r="AD134" s="191"/>
      <c r="AE134" s="191"/>
      <c r="AF134" s="191">
        <v>4</v>
      </c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BB134" s="4"/>
      <c r="BC134" s="4"/>
      <c r="BD134" s="4"/>
      <c r="BE134" s="4"/>
      <c r="BF134" s="4"/>
      <c r="BG134" s="4"/>
      <c r="BH134" s="4"/>
      <c r="BI134" s="4"/>
    </row>
    <row r="135" spans="1:61" x14ac:dyDescent="0.2">
      <c r="A135" s="11">
        <v>173</v>
      </c>
      <c r="B135" s="11">
        <f>IF(Open[[#This Row],[PR Rang beim letzten Turnier]]&gt;Open[[#This Row],[PR Rang]],1,IF(Open[[#This Row],[PR Rang beim letzten Turnier]]=Open[[#This Row],[PR Rang]],0,-1))</f>
        <v>1</v>
      </c>
      <c r="C135" s="147">
        <f>RANK(Open[[#This Row],[PR Punkte]],Open[PR Punkte],0)</f>
        <v>128</v>
      </c>
      <c r="D135" s="25" t="s">
        <v>239</v>
      </c>
      <c r="E135" s="31" t="s">
        <v>11</v>
      </c>
      <c r="F135" s="109">
        <f>SUM(Open[[#This Row],[PR 1]:[PR 3]])</f>
        <v>50</v>
      </c>
      <c r="G135" s="109">
        <f>LARGE(Open[[#This Row],[TS SH O 22.02.22]:[PR3]],1)</f>
        <v>50</v>
      </c>
      <c r="H135" s="109">
        <f>LARGE(Open[[#This Row],[TS SH O 22.02.22]:[PR3]],2)</f>
        <v>0</v>
      </c>
      <c r="I135" s="109">
        <f>LARGE(Open[[#This Row],[TS SH O 22.02.22]:[PR3]],3)</f>
        <v>0</v>
      </c>
      <c r="J135" s="31">
        <f>RANK(K135,$K$7:$K$295,0)</f>
        <v>128</v>
      </c>
      <c r="K135" s="109">
        <f>SUM(L135:W135)</f>
        <v>50</v>
      </c>
      <c r="L135" s="109" t="str">
        <f>IFERROR(VLOOKUP(Open[[#This Row],[TS SH 22.02.22 Rang]],$AJ$16:$AK$111,2,0)*L$5," ")</f>
        <v xml:space="preserve"> </v>
      </c>
      <c r="M135" s="109" t="str">
        <f>IFERROR(VLOOKUP(Open[[#This Row],[TS SH O 23.04.22 Rang]],$AJ$16:$AK$111,2,0)*M$5," ")</f>
        <v xml:space="preserve"> </v>
      </c>
      <c r="N135" s="109" t="str">
        <f>IFERROR(VLOOKUP(Open[[#This Row],[TS LA O 08.05.22 Rang]],$AJ$16:$AK$111,2,0)*N$5," ")</f>
        <v xml:space="preserve"> </v>
      </c>
      <c r="O135" s="109" t="str">
        <f>IFERROR(VLOOKUP(Open[[#This Row],[TS SG O 25.05.22 Rang]],$AJ$16:$AK$111,2,0)*O$5," ")</f>
        <v xml:space="preserve"> </v>
      </c>
      <c r="P135" s="109" t="str">
        <f>IFERROR(VLOOKUP(Open[[#This Row],[TS SH O 25.06.22 Rang]],$AJ$16:$AK$111,2,0)*P$5," ")</f>
        <v xml:space="preserve"> </v>
      </c>
      <c r="Q135" s="109" t="str">
        <f>IFERROR(VLOOKUP(Open[[#This Row],[TS ZH O/A 25.06.22 Rang]],$AJ$16:$AK$111,2,0)*Q$5," ")</f>
        <v xml:space="preserve"> </v>
      </c>
      <c r="R135" s="109" t="str">
        <f>IFERROR(VLOOKUP(Open[[#This Row],[TS ZH O/B 25.06.22 Rang]],$AJ$16:$AK$111,2,0)*R$5," ")</f>
        <v xml:space="preserve"> </v>
      </c>
      <c r="S135" s="109" t="str">
        <f>IFERROR(VLOOKUP(Open[[#This Row],[SM BE O/A 09.07.22 Rang]],$AJ$16:$AK$111,2,0)*S$5," ")</f>
        <v xml:space="preserve"> </v>
      </c>
      <c r="T135" s="109">
        <f>IFERROR(VLOOKUP(Open[[#This Row],[SM BE O/B 09.07.22 Rang]],$AJ$16:$AK$111,2,0)*T$5," ")</f>
        <v>50</v>
      </c>
      <c r="U135" s="11">
        <v>0</v>
      </c>
      <c r="V135" s="11">
        <v>0</v>
      </c>
      <c r="W135" s="11">
        <v>0</v>
      </c>
      <c r="X135" s="129"/>
      <c r="Y135" s="191"/>
      <c r="Z135" s="191"/>
      <c r="AA135" s="191"/>
      <c r="AB135" s="191"/>
      <c r="AC135" s="191"/>
      <c r="AD135" s="191"/>
      <c r="AE135" s="191"/>
      <c r="AF135" s="191">
        <v>4</v>
      </c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BB135" s="4"/>
      <c r="BC135" s="4"/>
      <c r="BD135" s="4"/>
      <c r="BE135" s="4"/>
      <c r="BF135" s="4"/>
      <c r="BG135" s="4"/>
      <c r="BH135" s="4"/>
      <c r="BI135" s="4"/>
    </row>
    <row r="136" spans="1:61" x14ac:dyDescent="0.2">
      <c r="A136" s="86">
        <v>117</v>
      </c>
      <c r="B136" s="11">
        <f>IF(Open[[#This Row],[PR Rang beim letzten Turnier]]&gt;Open[[#This Row],[PR Rang]],1,IF(Open[[#This Row],[PR Rang beim letzten Turnier]]=Open[[#This Row],[PR Rang]],0,-1))</f>
        <v>-1</v>
      </c>
      <c r="C136" s="194">
        <f>RANK(Open[[#This Row],[PR Punkte]],Open[PR Punkte],0)</f>
        <v>128</v>
      </c>
      <c r="D136" s="33" t="s">
        <v>615</v>
      </c>
      <c r="E136" s="11" t="s">
        <v>11</v>
      </c>
      <c r="F136" s="195">
        <f>SUM(Open[[#This Row],[PR 1]:[PR 3]])</f>
        <v>50</v>
      </c>
      <c r="G136" s="109">
        <f>LARGE(Open[[#This Row],[TS SH O 22.02.22]:[PR3]],1)</f>
        <v>50</v>
      </c>
      <c r="H136" s="109">
        <f>LARGE(Open[[#This Row],[TS SH O 22.02.22]:[PR3]],2)</f>
        <v>0</v>
      </c>
      <c r="I136" s="109">
        <f>LARGE(Open[[#This Row],[TS SH O 22.02.22]:[PR3]],3)</f>
        <v>0</v>
      </c>
      <c r="J136" s="196">
        <f>RANK(K136,$K$7:$K$361,0)</f>
        <v>128</v>
      </c>
      <c r="K136" s="109">
        <f>SUM(L136:W136)</f>
        <v>50</v>
      </c>
      <c r="L136" s="109"/>
      <c r="M136" s="109" t="str">
        <f>IFERROR(VLOOKUP(Open[[#This Row],[TS SH O 23.04.22 Rang]],$AJ$16:$AK$111,2,0)*M$5," ")</f>
        <v xml:space="preserve"> </v>
      </c>
      <c r="N136" s="109" t="str">
        <f>IFERROR(VLOOKUP(Open[[#This Row],[TS LA O 08.05.22 Rang]],$AJ$16:$AK$111,2,0)*N$5," ")</f>
        <v xml:space="preserve"> </v>
      </c>
      <c r="O136" s="109" t="str">
        <f>IFERROR(VLOOKUP(Open[[#This Row],[TS SG O 25.05.22 Rang]],$AJ$16:$AK$111,2,0)*O$5," ")</f>
        <v xml:space="preserve"> </v>
      </c>
      <c r="P136" s="109" t="str">
        <f>IFERROR(VLOOKUP(Open[[#This Row],[TS SH O 25.06.22 Rang]],$AJ$16:$AK$111,2,0)*P$5," ")</f>
        <v xml:space="preserve"> </v>
      </c>
      <c r="Q136" s="109" t="str">
        <f>IFERROR(VLOOKUP(Open[[#This Row],[TS ZH O/A 25.06.22 Rang]],$AJ$16:$AK$111,2,0)*Q$5," ")</f>
        <v xml:space="preserve"> </v>
      </c>
      <c r="R136" s="109">
        <f>IFERROR(VLOOKUP(Open[[#This Row],[TS ZH O/B 25.06.22 Rang]],$AJ$16:$AK$111,2,0)*R$5," ")</f>
        <v>50</v>
      </c>
      <c r="S136" s="109" t="str">
        <f>IFERROR(VLOOKUP(Open[[#This Row],[SM BE O/A 09.07.22 Rang]],$AJ$16:$AK$111,2,0)*S$5," ")</f>
        <v xml:space="preserve"> </v>
      </c>
      <c r="T136" s="109" t="str">
        <f>IFERROR(VLOOKUP(Open[[#This Row],[SM BE O/B 09.07.22 Rang]],$AJ$16:$AK$111,2,0)*T$5," ")</f>
        <v xml:space="preserve"> </v>
      </c>
      <c r="U136" s="11">
        <v>0</v>
      </c>
      <c r="V136" s="11">
        <v>0</v>
      </c>
      <c r="W136" s="11">
        <v>0</v>
      </c>
      <c r="X136" s="129"/>
      <c r="Y136" s="191"/>
      <c r="Z136" s="191"/>
      <c r="AA136" s="191"/>
      <c r="AB136" s="191"/>
      <c r="AC136" s="191"/>
      <c r="AD136" s="191">
        <v>4</v>
      </c>
      <c r="AE136" s="191"/>
      <c r="AF136" s="191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BB136" s="4"/>
      <c r="BC136" s="4"/>
      <c r="BD136" s="4"/>
      <c r="BE136" s="4"/>
      <c r="BF136" s="4"/>
      <c r="BG136" s="4"/>
      <c r="BH136" s="4"/>
      <c r="BI136" s="4"/>
    </row>
    <row r="137" spans="1:61" x14ac:dyDescent="0.2">
      <c r="A137" s="86">
        <v>117</v>
      </c>
      <c r="B137" s="11">
        <f>IF(Open[[#This Row],[PR Rang beim letzten Turnier]]&gt;Open[[#This Row],[PR Rang]],1,IF(Open[[#This Row],[PR Rang beim letzten Turnier]]=Open[[#This Row],[PR Rang]],0,-1))</f>
        <v>-1</v>
      </c>
      <c r="C137" s="194">
        <f>RANK(Open[[#This Row],[PR Punkte]],Open[PR Punkte],0)</f>
        <v>128</v>
      </c>
      <c r="D137" s="33" t="s">
        <v>616</v>
      </c>
      <c r="E137" s="11" t="s">
        <v>11</v>
      </c>
      <c r="F137" s="195">
        <f>SUM(Open[[#This Row],[PR 1]:[PR 3]])</f>
        <v>50</v>
      </c>
      <c r="G137" s="109">
        <f>LARGE(Open[[#This Row],[TS SH O 22.02.22]:[PR3]],1)</f>
        <v>50</v>
      </c>
      <c r="H137" s="109">
        <f>LARGE(Open[[#This Row],[TS SH O 22.02.22]:[PR3]],2)</f>
        <v>0</v>
      </c>
      <c r="I137" s="109">
        <f>LARGE(Open[[#This Row],[TS SH O 22.02.22]:[PR3]],3)</f>
        <v>0</v>
      </c>
      <c r="J137" s="196">
        <f>RANK(K137,$K$7:$K$361,0)</f>
        <v>128</v>
      </c>
      <c r="K137" s="109">
        <f>SUM(L137:W137)</f>
        <v>50</v>
      </c>
      <c r="L137" s="109"/>
      <c r="M137" s="109" t="str">
        <f>IFERROR(VLOOKUP(Open[[#This Row],[TS SH O 23.04.22 Rang]],$AJ$16:$AK$111,2,0)*M$5," ")</f>
        <v xml:space="preserve"> </v>
      </c>
      <c r="N137" s="109" t="str">
        <f>IFERROR(VLOOKUP(Open[[#This Row],[TS LA O 08.05.22 Rang]],$AJ$16:$AK$111,2,0)*N$5," ")</f>
        <v xml:space="preserve"> </v>
      </c>
      <c r="O137" s="109" t="str">
        <f>IFERROR(VLOOKUP(Open[[#This Row],[TS SG O 25.05.22 Rang]],$AJ$16:$AK$111,2,0)*O$5," ")</f>
        <v xml:space="preserve"> </v>
      </c>
      <c r="P137" s="109" t="str">
        <f>IFERROR(VLOOKUP(Open[[#This Row],[TS SH O 25.06.22 Rang]],$AJ$16:$AK$111,2,0)*P$5," ")</f>
        <v xml:space="preserve"> </v>
      </c>
      <c r="Q137" s="109" t="str">
        <f>IFERROR(VLOOKUP(Open[[#This Row],[TS ZH O/A 25.06.22 Rang]],$AJ$16:$AK$111,2,0)*Q$5," ")</f>
        <v xml:space="preserve"> </v>
      </c>
      <c r="R137" s="109">
        <f>IFERROR(VLOOKUP(Open[[#This Row],[TS ZH O/B 25.06.22 Rang]],$AJ$16:$AK$111,2,0)*R$5," ")</f>
        <v>50</v>
      </c>
      <c r="S137" s="109" t="str">
        <f>IFERROR(VLOOKUP(Open[[#This Row],[SM BE O/A 09.07.22 Rang]],$AJ$16:$AK$111,2,0)*S$5," ")</f>
        <v xml:space="preserve"> </v>
      </c>
      <c r="T137" s="109" t="str">
        <f>IFERROR(VLOOKUP(Open[[#This Row],[SM BE O/B 09.07.22 Rang]],$AJ$16:$AK$111,2,0)*T$5," ")</f>
        <v xml:space="preserve"> </v>
      </c>
      <c r="U137" s="11">
        <v>0</v>
      </c>
      <c r="V137" s="11">
        <v>0</v>
      </c>
      <c r="W137" s="11">
        <v>0</v>
      </c>
      <c r="X137" s="129"/>
      <c r="Y137" s="191"/>
      <c r="Z137" s="191"/>
      <c r="AA137" s="191"/>
      <c r="AB137" s="191"/>
      <c r="AC137" s="191"/>
      <c r="AD137" s="191">
        <v>4</v>
      </c>
      <c r="AE137" s="191"/>
      <c r="AF137" s="191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BB137" s="4"/>
      <c r="BC137" s="4"/>
      <c r="BD137" s="4"/>
      <c r="BE137" s="4"/>
      <c r="BF137" s="4"/>
      <c r="BG137" s="4"/>
      <c r="BH137" s="4"/>
      <c r="BI137" s="4"/>
    </row>
    <row r="138" spans="1:61" x14ac:dyDescent="0.2">
      <c r="A138" s="11">
        <v>119</v>
      </c>
      <c r="B138" s="11">
        <f>IF(Open[[#This Row],[PR Rang beim letzten Turnier]]&gt;Open[[#This Row],[PR Rang]],1,IF(Open[[#This Row],[PR Rang beim letzten Turnier]]=Open[[#This Row],[PR Rang]],0,-1))</f>
        <v>-1</v>
      </c>
      <c r="C138" s="147">
        <f>RANK(Open[[#This Row],[PR Punkte]],Open[PR Punkte],0)</f>
        <v>132</v>
      </c>
      <c r="D138" s="9" t="s">
        <v>513</v>
      </c>
      <c r="E138" s="9" t="s">
        <v>11</v>
      </c>
      <c r="F138" s="109">
        <f>SUM(Open[[#This Row],[PR 1]:[PR 3]])</f>
        <v>47.400000000000006</v>
      </c>
      <c r="G138" s="109">
        <f>LARGE(Open[[#This Row],[TS SH O 22.02.22]:[PR3]],1)</f>
        <v>47.400000000000006</v>
      </c>
      <c r="H138" s="109">
        <f>LARGE(Open[[#This Row],[TS SH O 22.02.22]:[PR3]],2)</f>
        <v>0</v>
      </c>
      <c r="I138" s="109">
        <f>LARGE(Open[[#This Row],[TS SH O 22.02.22]:[PR3]],3)</f>
        <v>0</v>
      </c>
      <c r="J138" s="9">
        <f>RANK(K138,$K$7:$K$361,0)</f>
        <v>132</v>
      </c>
      <c r="K138" s="109">
        <f>SUM(L138:W138)</f>
        <v>47.400000000000006</v>
      </c>
      <c r="L138" s="109"/>
      <c r="M138" s="109" t="str">
        <f>IFERROR(VLOOKUP(Open[[#This Row],[TS SH O 23.04.22 Rang]],$AJ$16:$AK$111,2,0)*M$5," ")</f>
        <v xml:space="preserve"> </v>
      </c>
      <c r="N138" s="109">
        <f>IFERROR(VLOOKUP(Open[[#This Row],[TS LA O 08.05.22 Rang]],$AJ$16:$AK$111,2,0)*N$5," ")</f>
        <v>47.400000000000006</v>
      </c>
      <c r="O138" s="109" t="str">
        <f>IFERROR(VLOOKUP(Open[[#This Row],[TS SG O 25.05.22 Rang]],$AJ$16:$AK$111,2,0)*O$5," ")</f>
        <v xml:space="preserve"> </v>
      </c>
      <c r="P138" s="109" t="str">
        <f>IFERROR(VLOOKUP(Open[[#This Row],[TS SH O 25.06.22 Rang]],$AJ$16:$AK$111,2,0)*P$5," ")</f>
        <v xml:space="preserve"> </v>
      </c>
      <c r="Q138" s="109" t="str">
        <f>IFERROR(VLOOKUP(Open[[#This Row],[TS ZH O/A 25.06.22 Rang]],$AJ$16:$AK$111,2,0)*Q$5," ")</f>
        <v xml:space="preserve"> </v>
      </c>
      <c r="R138" s="109" t="str">
        <f>IFERROR(VLOOKUP(Open[[#This Row],[TS ZH O/B 25.06.22 Rang]],$AJ$16:$AK$111,2,0)*R$5," ")</f>
        <v xml:space="preserve"> </v>
      </c>
      <c r="S138" s="109" t="str">
        <f>IFERROR(VLOOKUP(Open[[#This Row],[SM BE O/A 09.07.22 Rang]],$AJ$16:$AK$111,2,0)*S$5," ")</f>
        <v xml:space="preserve"> </v>
      </c>
      <c r="T138" s="109" t="str">
        <f>IFERROR(VLOOKUP(Open[[#This Row],[SM BE O/B 09.07.22 Rang]],$AJ$16:$AK$111,2,0)*T$5," ")</f>
        <v xml:space="preserve"> </v>
      </c>
      <c r="U138" s="11">
        <v>0</v>
      </c>
      <c r="V138" s="11">
        <v>0</v>
      </c>
      <c r="W138" s="11">
        <v>0</v>
      </c>
      <c r="X138" s="129"/>
      <c r="Y138" s="191"/>
      <c r="Z138" s="191">
        <v>21</v>
      </c>
      <c r="AA138" s="191"/>
      <c r="AB138" s="191"/>
      <c r="AC138" s="191"/>
      <c r="AD138" s="191"/>
      <c r="AE138" s="191"/>
      <c r="AF138" s="191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BB138" s="4"/>
      <c r="BC138" s="4"/>
      <c r="BD138" s="4"/>
      <c r="BE138" s="4"/>
      <c r="BF138" s="4"/>
      <c r="BG138" s="4"/>
      <c r="BH138" s="4"/>
      <c r="BI138" s="4"/>
    </row>
    <row r="139" spans="1:61" x14ac:dyDescent="0.2">
      <c r="A139" s="11">
        <v>119</v>
      </c>
      <c r="B139" s="11">
        <f>IF(Open[[#This Row],[PR Rang beim letzten Turnier]]&gt;Open[[#This Row],[PR Rang]],1,IF(Open[[#This Row],[PR Rang beim letzten Turnier]]=Open[[#This Row],[PR Rang]],0,-1))</f>
        <v>-1</v>
      </c>
      <c r="C139" s="147">
        <f>RANK(Open[[#This Row],[PR Punkte]],Open[PR Punkte],0)</f>
        <v>132</v>
      </c>
      <c r="D139" s="9" t="s">
        <v>502</v>
      </c>
      <c r="E139" s="9" t="s">
        <v>11</v>
      </c>
      <c r="F139" s="109">
        <f>SUM(Open[[#This Row],[PR 1]:[PR 3]])</f>
        <v>47.400000000000006</v>
      </c>
      <c r="G139" s="109">
        <f>LARGE(Open[[#This Row],[TS SH O 22.02.22]:[PR3]],1)</f>
        <v>47.400000000000006</v>
      </c>
      <c r="H139" s="109">
        <f>LARGE(Open[[#This Row],[TS SH O 22.02.22]:[PR3]],2)</f>
        <v>0</v>
      </c>
      <c r="I139" s="109">
        <f>LARGE(Open[[#This Row],[TS SH O 22.02.22]:[PR3]],3)</f>
        <v>0</v>
      </c>
      <c r="J139" s="9">
        <f>RANK(K139,$K$7:$K$361,0)</f>
        <v>132</v>
      </c>
      <c r="K139" s="109">
        <f>SUM(L139:W139)</f>
        <v>47.400000000000006</v>
      </c>
      <c r="L139" s="109"/>
      <c r="M139" s="109" t="str">
        <f>IFERROR(VLOOKUP(Open[[#This Row],[TS SH O 23.04.22 Rang]],$AJ$16:$AK$111,2,0)*M$5," ")</f>
        <v xml:space="preserve"> </v>
      </c>
      <c r="N139" s="109">
        <f>IFERROR(VLOOKUP(Open[[#This Row],[TS LA O 08.05.22 Rang]],$AJ$16:$AK$111,2,0)*N$5," ")</f>
        <v>47.400000000000006</v>
      </c>
      <c r="O139" s="109" t="str">
        <f>IFERROR(VLOOKUP(Open[[#This Row],[TS SG O 25.05.22 Rang]],$AJ$16:$AK$111,2,0)*O$5," ")</f>
        <v xml:space="preserve"> </v>
      </c>
      <c r="P139" s="109" t="str">
        <f>IFERROR(VLOOKUP(Open[[#This Row],[TS SH O 25.06.22 Rang]],$AJ$16:$AK$111,2,0)*P$5," ")</f>
        <v xml:space="preserve"> </v>
      </c>
      <c r="Q139" s="109" t="str">
        <f>IFERROR(VLOOKUP(Open[[#This Row],[TS ZH O/A 25.06.22 Rang]],$AJ$16:$AK$111,2,0)*Q$5," ")</f>
        <v xml:space="preserve"> </v>
      </c>
      <c r="R139" s="109" t="str">
        <f>IFERROR(VLOOKUP(Open[[#This Row],[TS ZH O/B 25.06.22 Rang]],$AJ$16:$AK$111,2,0)*R$5," ")</f>
        <v xml:space="preserve"> </v>
      </c>
      <c r="S139" s="109" t="str">
        <f>IFERROR(VLOOKUP(Open[[#This Row],[SM BE O/A 09.07.22 Rang]],$AJ$16:$AK$111,2,0)*S$5," ")</f>
        <v xml:space="preserve"> </v>
      </c>
      <c r="T139" s="109" t="str">
        <f>IFERROR(VLOOKUP(Open[[#This Row],[SM BE O/B 09.07.22 Rang]],$AJ$16:$AK$111,2,0)*T$5," ")</f>
        <v xml:space="preserve"> </v>
      </c>
      <c r="U139" s="11">
        <v>0</v>
      </c>
      <c r="V139" s="11">
        <v>0</v>
      </c>
      <c r="W139" s="11">
        <v>0</v>
      </c>
      <c r="X139" s="129"/>
      <c r="Y139" s="191"/>
      <c r="Z139" s="191">
        <v>21</v>
      </c>
      <c r="AA139" s="191"/>
      <c r="AB139" s="191"/>
      <c r="AC139" s="191"/>
      <c r="AD139" s="191"/>
      <c r="AE139" s="191"/>
      <c r="AF139" s="19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BB139" s="4"/>
      <c r="BC139" s="4"/>
      <c r="BD139" s="4"/>
      <c r="BE139" s="4"/>
      <c r="BF139" s="4"/>
      <c r="BG139" s="4"/>
      <c r="BH139" s="4"/>
      <c r="BI139" s="4"/>
    </row>
    <row r="140" spans="1:61" x14ac:dyDescent="0.2">
      <c r="A140" s="11">
        <v>119</v>
      </c>
      <c r="B140" s="11">
        <f>IF(Open[[#This Row],[PR Rang beim letzten Turnier]]&gt;Open[[#This Row],[PR Rang]],1,IF(Open[[#This Row],[PR Rang beim letzten Turnier]]=Open[[#This Row],[PR Rang]],0,-1))</f>
        <v>-1</v>
      </c>
      <c r="C140" s="147">
        <f>RANK(Open[[#This Row],[PR Punkte]],Open[PR Punkte],0)</f>
        <v>132</v>
      </c>
      <c r="D140" s="9" t="s">
        <v>503</v>
      </c>
      <c r="E140" s="9" t="s">
        <v>11</v>
      </c>
      <c r="F140" s="109">
        <f>SUM(Open[[#This Row],[PR 1]:[PR 3]])</f>
        <v>47.400000000000006</v>
      </c>
      <c r="G140" s="109">
        <f>LARGE(Open[[#This Row],[TS SH O 22.02.22]:[PR3]],1)</f>
        <v>47.400000000000006</v>
      </c>
      <c r="H140" s="109">
        <f>LARGE(Open[[#This Row],[TS SH O 22.02.22]:[PR3]],2)</f>
        <v>0</v>
      </c>
      <c r="I140" s="109">
        <f>LARGE(Open[[#This Row],[TS SH O 22.02.22]:[PR3]],3)</f>
        <v>0</v>
      </c>
      <c r="J140" s="9">
        <f>RANK(K140,$K$7:$K$361,0)</f>
        <v>132</v>
      </c>
      <c r="K140" s="109">
        <f>SUM(L140:W140)</f>
        <v>47.400000000000006</v>
      </c>
      <c r="L140" s="109"/>
      <c r="M140" s="109" t="str">
        <f>IFERROR(VLOOKUP(Open[[#This Row],[TS SH O 23.04.22 Rang]],$AJ$16:$AK$111,2,0)*M$5," ")</f>
        <v xml:space="preserve"> </v>
      </c>
      <c r="N140" s="109">
        <f>IFERROR(VLOOKUP(Open[[#This Row],[TS LA O 08.05.22 Rang]],$AJ$16:$AK$111,2,0)*N$5," ")</f>
        <v>47.400000000000006</v>
      </c>
      <c r="O140" s="109" t="str">
        <f>IFERROR(VLOOKUP(Open[[#This Row],[TS SG O 25.05.22 Rang]],$AJ$16:$AK$111,2,0)*O$5," ")</f>
        <v xml:space="preserve"> </v>
      </c>
      <c r="P140" s="109" t="str">
        <f>IFERROR(VLOOKUP(Open[[#This Row],[TS SH O 25.06.22 Rang]],$AJ$16:$AK$111,2,0)*P$5," ")</f>
        <v xml:space="preserve"> </v>
      </c>
      <c r="Q140" s="109" t="str">
        <f>IFERROR(VLOOKUP(Open[[#This Row],[TS ZH O/A 25.06.22 Rang]],$AJ$16:$AK$111,2,0)*Q$5," ")</f>
        <v xml:space="preserve"> </v>
      </c>
      <c r="R140" s="109" t="str">
        <f>IFERROR(VLOOKUP(Open[[#This Row],[TS ZH O/B 25.06.22 Rang]],$AJ$16:$AK$111,2,0)*R$5," ")</f>
        <v xml:space="preserve"> </v>
      </c>
      <c r="S140" s="109" t="str">
        <f>IFERROR(VLOOKUP(Open[[#This Row],[SM BE O/A 09.07.22 Rang]],$AJ$16:$AK$111,2,0)*S$5," ")</f>
        <v xml:space="preserve"> </v>
      </c>
      <c r="T140" s="109" t="str">
        <f>IFERROR(VLOOKUP(Open[[#This Row],[SM BE O/B 09.07.22 Rang]],$AJ$16:$AK$111,2,0)*T$5," ")</f>
        <v xml:space="preserve"> </v>
      </c>
      <c r="U140" s="11">
        <v>0</v>
      </c>
      <c r="V140" s="11">
        <v>0</v>
      </c>
      <c r="W140" s="11">
        <v>0</v>
      </c>
      <c r="X140" s="129"/>
      <c r="Y140" s="191"/>
      <c r="Z140" s="191">
        <v>23</v>
      </c>
      <c r="AA140" s="191"/>
      <c r="AB140" s="191"/>
      <c r="AC140" s="191"/>
      <c r="AD140" s="191"/>
      <c r="AE140" s="191"/>
      <c r="AF140" s="19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BB140" s="4"/>
      <c r="BC140" s="4"/>
      <c r="BD140" s="4"/>
      <c r="BE140" s="4"/>
      <c r="BF140" s="4"/>
      <c r="BG140" s="4"/>
      <c r="BH140" s="4"/>
      <c r="BI140" s="4"/>
    </row>
    <row r="141" spans="1:61" x14ac:dyDescent="0.2">
      <c r="A141" s="11">
        <v>119</v>
      </c>
      <c r="B141" s="11">
        <f>IF(Open[[#This Row],[PR Rang beim letzten Turnier]]&gt;Open[[#This Row],[PR Rang]],1,IF(Open[[#This Row],[PR Rang beim letzten Turnier]]=Open[[#This Row],[PR Rang]],0,-1))</f>
        <v>-1</v>
      </c>
      <c r="C141" s="147">
        <f>RANK(Open[[#This Row],[PR Punkte]],Open[PR Punkte],0)</f>
        <v>132</v>
      </c>
      <c r="D141" s="9" t="s">
        <v>514</v>
      </c>
      <c r="E141" s="9" t="s">
        <v>11</v>
      </c>
      <c r="F141" s="109">
        <f>SUM(Open[[#This Row],[PR 1]:[PR 3]])</f>
        <v>47.400000000000006</v>
      </c>
      <c r="G141" s="109">
        <f>LARGE(Open[[#This Row],[TS SH O 22.02.22]:[PR3]],1)</f>
        <v>47.400000000000006</v>
      </c>
      <c r="H141" s="109">
        <f>LARGE(Open[[#This Row],[TS SH O 22.02.22]:[PR3]],2)</f>
        <v>0</v>
      </c>
      <c r="I141" s="109">
        <f>LARGE(Open[[#This Row],[TS SH O 22.02.22]:[PR3]],3)</f>
        <v>0</v>
      </c>
      <c r="J141" s="9">
        <f>RANK(K141,$K$7:$K$361,0)</f>
        <v>132</v>
      </c>
      <c r="K141" s="109">
        <f>SUM(L141:W141)</f>
        <v>47.400000000000006</v>
      </c>
      <c r="L141" s="109"/>
      <c r="M141" s="109" t="str">
        <f>IFERROR(VLOOKUP(Open[[#This Row],[TS SH O 23.04.22 Rang]],$AJ$16:$AK$111,2,0)*M$5," ")</f>
        <v xml:space="preserve"> </v>
      </c>
      <c r="N141" s="109">
        <f>IFERROR(VLOOKUP(Open[[#This Row],[TS LA O 08.05.22 Rang]],$AJ$16:$AK$111,2,0)*N$5," ")</f>
        <v>47.400000000000006</v>
      </c>
      <c r="O141" s="109" t="str">
        <f>IFERROR(VLOOKUP(Open[[#This Row],[TS SG O 25.05.22 Rang]],$AJ$16:$AK$111,2,0)*O$5," ")</f>
        <v xml:space="preserve"> </v>
      </c>
      <c r="P141" s="109" t="str">
        <f>IFERROR(VLOOKUP(Open[[#This Row],[TS SH O 25.06.22 Rang]],$AJ$16:$AK$111,2,0)*P$5," ")</f>
        <v xml:space="preserve"> </v>
      </c>
      <c r="Q141" s="109" t="str">
        <f>IFERROR(VLOOKUP(Open[[#This Row],[TS ZH O/A 25.06.22 Rang]],$AJ$16:$AK$111,2,0)*Q$5," ")</f>
        <v xml:space="preserve"> </v>
      </c>
      <c r="R141" s="109" t="str">
        <f>IFERROR(VLOOKUP(Open[[#This Row],[TS ZH O/B 25.06.22 Rang]],$AJ$16:$AK$111,2,0)*R$5," ")</f>
        <v xml:space="preserve"> </v>
      </c>
      <c r="S141" s="109" t="str">
        <f>IFERROR(VLOOKUP(Open[[#This Row],[SM BE O/A 09.07.22 Rang]],$AJ$16:$AK$111,2,0)*S$5," ")</f>
        <v xml:space="preserve"> </v>
      </c>
      <c r="T141" s="109" t="str">
        <f>IFERROR(VLOOKUP(Open[[#This Row],[SM BE O/B 09.07.22 Rang]],$AJ$16:$AK$111,2,0)*T$5," ")</f>
        <v xml:space="preserve"> </v>
      </c>
      <c r="U141" s="11">
        <v>0</v>
      </c>
      <c r="V141" s="11">
        <v>0</v>
      </c>
      <c r="W141" s="11">
        <v>0</v>
      </c>
      <c r="X141" s="129"/>
      <c r="Y141" s="191"/>
      <c r="Z141" s="191">
        <v>23</v>
      </c>
      <c r="AA141" s="191"/>
      <c r="AB141" s="191"/>
      <c r="AC141" s="191"/>
      <c r="AD141" s="191"/>
      <c r="AE141" s="191"/>
      <c r="AF141" s="19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BB141" s="4"/>
      <c r="BC141" s="4"/>
      <c r="BD141" s="4"/>
      <c r="BE141" s="4"/>
      <c r="BF141" s="4"/>
      <c r="BG141" s="4"/>
      <c r="BH141" s="4"/>
      <c r="BI141" s="4"/>
    </row>
    <row r="142" spans="1:61" x14ac:dyDescent="0.2">
      <c r="A142" s="11">
        <v>119</v>
      </c>
      <c r="B142" s="11">
        <f>IF(Open[[#This Row],[PR Rang beim letzten Turnier]]&gt;Open[[#This Row],[PR Rang]],1,IF(Open[[#This Row],[PR Rang beim letzten Turnier]]=Open[[#This Row],[PR Rang]],0,-1))</f>
        <v>-1</v>
      </c>
      <c r="C142" s="147">
        <f>RANK(Open[[#This Row],[PR Punkte]],Open[PR Punkte],0)</f>
        <v>132</v>
      </c>
      <c r="D142" s="25" t="s">
        <v>277</v>
      </c>
      <c r="E142" s="31" t="s">
        <v>14</v>
      </c>
      <c r="F142" s="109">
        <f>SUM(Open[[#This Row],[PR 1]:[PR 3]])</f>
        <v>47.400000000000006</v>
      </c>
      <c r="G142" s="109">
        <f>LARGE(Open[[#This Row],[TS SH O 22.02.22]:[PR3]],1)</f>
        <v>47.400000000000006</v>
      </c>
      <c r="H142" s="109">
        <f>LARGE(Open[[#This Row],[TS SH O 22.02.22]:[PR3]],2)</f>
        <v>0</v>
      </c>
      <c r="I142" s="109">
        <f>LARGE(Open[[#This Row],[TS SH O 22.02.22]:[PR3]],3)</f>
        <v>0</v>
      </c>
      <c r="J142" s="31">
        <f>RANK(K142,$K$7:$K$295,0)</f>
        <v>132</v>
      </c>
      <c r="K142" s="109">
        <f>SUM(L142:W142)</f>
        <v>47.400000000000006</v>
      </c>
      <c r="L142" s="109" t="str">
        <f>IFERROR(VLOOKUP(Open[[#This Row],[TS SH 22.02.22 Rang]],$AJ$16:$AK$111,2,0)*L$5," ")</f>
        <v xml:space="preserve"> </v>
      </c>
      <c r="M142" s="109" t="str">
        <f>IFERROR(VLOOKUP(Open[[#This Row],[TS SH O 23.04.22 Rang]],$AJ$16:$AK$111,2,0)*M$5," ")</f>
        <v xml:space="preserve"> </v>
      </c>
      <c r="N142" s="109">
        <f>IFERROR(VLOOKUP(Open[[#This Row],[TS LA O 08.05.22 Rang]],$AJ$16:$AK$111,2,0)*N$5," ")</f>
        <v>47.400000000000006</v>
      </c>
      <c r="O142" s="109" t="str">
        <f>IFERROR(VLOOKUP(Open[[#This Row],[TS SG O 25.05.22 Rang]],$AJ$16:$AK$111,2,0)*O$5," ")</f>
        <v xml:space="preserve"> </v>
      </c>
      <c r="P142" s="109" t="str">
        <f>IFERROR(VLOOKUP(Open[[#This Row],[TS SH O 25.06.22 Rang]],$AJ$16:$AK$111,2,0)*P$5," ")</f>
        <v xml:space="preserve"> </v>
      </c>
      <c r="Q142" s="109" t="str">
        <f>IFERROR(VLOOKUP(Open[[#This Row],[TS ZH O/A 25.06.22 Rang]],$AJ$16:$AK$111,2,0)*Q$5," ")</f>
        <v xml:space="preserve"> </v>
      </c>
      <c r="R142" s="109" t="str">
        <f>IFERROR(VLOOKUP(Open[[#This Row],[TS ZH O/B 25.06.22 Rang]],$AJ$16:$AK$111,2,0)*R$5," ")</f>
        <v xml:space="preserve"> </v>
      </c>
      <c r="S142" s="109" t="str">
        <f>IFERROR(VLOOKUP(Open[[#This Row],[SM BE O/A 09.07.22 Rang]],$AJ$16:$AK$111,2,0)*S$5," ")</f>
        <v xml:space="preserve"> </v>
      </c>
      <c r="T142" s="109" t="str">
        <f>IFERROR(VLOOKUP(Open[[#This Row],[SM BE O/B 09.07.22 Rang]],$AJ$16:$AK$111,2,0)*T$5," ")</f>
        <v xml:space="preserve"> </v>
      </c>
      <c r="U142" s="11">
        <v>0</v>
      </c>
      <c r="V142" s="11">
        <v>0</v>
      </c>
      <c r="W142" s="11">
        <v>0</v>
      </c>
      <c r="X142" s="129"/>
      <c r="Y142" s="191"/>
      <c r="Z142" s="191">
        <v>22</v>
      </c>
      <c r="AA142" s="191"/>
      <c r="AB142" s="191"/>
      <c r="AC142" s="191"/>
      <c r="AD142" s="191"/>
      <c r="AE142" s="191"/>
      <c r="AF142" s="19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BB142" s="4"/>
      <c r="BC142" s="4"/>
      <c r="BD142" s="4"/>
      <c r="BE142" s="4"/>
      <c r="BF142" s="4"/>
      <c r="BG142" s="4"/>
      <c r="BH142" s="4"/>
      <c r="BI142" s="4"/>
    </row>
    <row r="143" spans="1:61" x14ac:dyDescent="0.2">
      <c r="A143" s="11">
        <v>119</v>
      </c>
      <c r="B143" s="11">
        <f>IF(Open[[#This Row],[PR Rang beim letzten Turnier]]&gt;Open[[#This Row],[PR Rang]],1,IF(Open[[#This Row],[PR Rang beim letzten Turnier]]=Open[[#This Row],[PR Rang]],0,-1))</f>
        <v>-1</v>
      </c>
      <c r="C143" s="147">
        <f>RANK(Open[[#This Row],[PR Punkte]],Open[PR Punkte],0)</f>
        <v>132</v>
      </c>
      <c r="D143" s="9" t="s">
        <v>497</v>
      </c>
      <c r="E143" s="9" t="s">
        <v>488</v>
      </c>
      <c r="F143" s="109">
        <f>SUM(Open[[#This Row],[PR 1]:[PR 3]])</f>
        <v>47.400000000000006</v>
      </c>
      <c r="G143" s="109">
        <f>LARGE(Open[[#This Row],[TS SH O 22.02.22]:[PR3]],1)</f>
        <v>47.400000000000006</v>
      </c>
      <c r="H143" s="109">
        <f>LARGE(Open[[#This Row],[TS SH O 22.02.22]:[PR3]],2)</f>
        <v>0</v>
      </c>
      <c r="I143" s="109">
        <f>LARGE(Open[[#This Row],[TS SH O 22.02.22]:[PR3]],3)</f>
        <v>0</v>
      </c>
      <c r="J143" s="9">
        <f>RANK(K143,$K$7:$K$361,0)</f>
        <v>132</v>
      </c>
      <c r="K143" s="109">
        <f>SUM(L143:W143)</f>
        <v>47.400000000000006</v>
      </c>
      <c r="L143" s="109"/>
      <c r="M143" s="109" t="str">
        <f>IFERROR(VLOOKUP(Open[[#This Row],[TS SH O 23.04.22 Rang]],$AJ$16:$AK$111,2,0)*M$5," ")</f>
        <v xml:space="preserve"> </v>
      </c>
      <c r="N143" s="109">
        <f>IFERROR(VLOOKUP(Open[[#This Row],[TS LA O 08.05.22 Rang]],$AJ$16:$AK$111,2,0)*N$5," ")</f>
        <v>47.400000000000006</v>
      </c>
      <c r="O143" s="109" t="str">
        <f>IFERROR(VLOOKUP(Open[[#This Row],[TS SG O 25.05.22 Rang]],$AJ$16:$AK$111,2,0)*O$5," ")</f>
        <v xml:space="preserve"> </v>
      </c>
      <c r="P143" s="109" t="str">
        <f>IFERROR(VLOOKUP(Open[[#This Row],[TS SH O 25.06.22 Rang]],$AJ$16:$AK$111,2,0)*P$5," ")</f>
        <v xml:space="preserve"> </v>
      </c>
      <c r="Q143" s="109" t="str">
        <f>IFERROR(VLOOKUP(Open[[#This Row],[TS ZH O/A 25.06.22 Rang]],$AJ$16:$AK$111,2,0)*Q$5," ")</f>
        <v xml:space="preserve"> </v>
      </c>
      <c r="R143" s="109" t="str">
        <f>IFERROR(VLOOKUP(Open[[#This Row],[TS ZH O/B 25.06.22 Rang]],$AJ$16:$AK$111,2,0)*R$5," ")</f>
        <v xml:space="preserve"> </v>
      </c>
      <c r="S143" s="109" t="str">
        <f>IFERROR(VLOOKUP(Open[[#This Row],[SM BE O/A 09.07.22 Rang]],$AJ$16:$AK$111,2,0)*S$5," ")</f>
        <v xml:space="preserve"> </v>
      </c>
      <c r="T143" s="109" t="str">
        <f>IFERROR(VLOOKUP(Open[[#This Row],[SM BE O/B 09.07.22 Rang]],$AJ$16:$AK$111,2,0)*T$5," ")</f>
        <v xml:space="preserve"> </v>
      </c>
      <c r="U143" s="11">
        <v>0</v>
      </c>
      <c r="V143" s="11">
        <v>0</v>
      </c>
      <c r="W143" s="11">
        <v>0</v>
      </c>
      <c r="X143" s="129"/>
      <c r="Y143" s="191"/>
      <c r="Z143" s="191">
        <v>17</v>
      </c>
      <c r="AA143" s="191"/>
      <c r="AB143" s="191"/>
      <c r="AC143" s="191"/>
      <c r="AD143" s="191"/>
      <c r="AE143" s="191"/>
      <c r="AF143" s="19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BB143" s="4"/>
      <c r="BC143" s="4"/>
      <c r="BD143" s="4"/>
      <c r="BE143" s="4"/>
      <c r="BF143" s="4"/>
      <c r="BG143" s="4"/>
      <c r="BH143" s="4"/>
      <c r="BI143" s="4"/>
    </row>
    <row r="144" spans="1:61" x14ac:dyDescent="0.2">
      <c r="A144" s="11">
        <v>119</v>
      </c>
      <c r="B144" s="11">
        <f>IF(Open[[#This Row],[PR Rang beim letzten Turnier]]&gt;Open[[#This Row],[PR Rang]],1,IF(Open[[#This Row],[PR Rang beim letzten Turnier]]=Open[[#This Row],[PR Rang]],0,-1))</f>
        <v>-1</v>
      </c>
      <c r="C144" s="147">
        <f>RANK(Open[[#This Row],[PR Punkte]],Open[PR Punkte],0)</f>
        <v>132</v>
      </c>
      <c r="D144" s="9" t="s">
        <v>512</v>
      </c>
      <c r="E144" s="9" t="s">
        <v>11</v>
      </c>
      <c r="F144" s="109">
        <f>SUM(Open[[#This Row],[PR 1]:[PR 3]])</f>
        <v>47.400000000000006</v>
      </c>
      <c r="G144" s="109">
        <f>LARGE(Open[[#This Row],[TS SH O 22.02.22]:[PR3]],1)</f>
        <v>47.400000000000006</v>
      </c>
      <c r="H144" s="109">
        <f>LARGE(Open[[#This Row],[TS SH O 22.02.22]:[PR3]],2)</f>
        <v>0</v>
      </c>
      <c r="I144" s="109">
        <f>LARGE(Open[[#This Row],[TS SH O 22.02.22]:[PR3]],3)</f>
        <v>0</v>
      </c>
      <c r="J144" s="9">
        <f>RANK(K144,$K$7:$K$361,0)</f>
        <v>132</v>
      </c>
      <c r="K144" s="109">
        <f>SUM(L144:W144)</f>
        <v>47.400000000000006</v>
      </c>
      <c r="L144" s="109"/>
      <c r="M144" s="109" t="str">
        <f>IFERROR(VLOOKUP(Open[[#This Row],[TS SH O 23.04.22 Rang]],$AJ$16:$AK$111,2,0)*M$5," ")</f>
        <v xml:space="preserve"> </v>
      </c>
      <c r="N144" s="109">
        <f>IFERROR(VLOOKUP(Open[[#This Row],[TS LA O 08.05.22 Rang]],$AJ$16:$AK$111,2,0)*N$5," ")</f>
        <v>47.400000000000006</v>
      </c>
      <c r="O144" s="109" t="str">
        <f>IFERROR(VLOOKUP(Open[[#This Row],[TS SG O 25.05.22 Rang]],$AJ$16:$AK$111,2,0)*O$5," ")</f>
        <v xml:space="preserve"> </v>
      </c>
      <c r="P144" s="109" t="str">
        <f>IFERROR(VLOOKUP(Open[[#This Row],[TS SH O 25.06.22 Rang]],$AJ$16:$AK$111,2,0)*P$5," ")</f>
        <v xml:space="preserve"> </v>
      </c>
      <c r="Q144" s="109" t="str">
        <f>IFERROR(VLOOKUP(Open[[#This Row],[TS ZH O/A 25.06.22 Rang]],$AJ$16:$AK$111,2,0)*Q$5," ")</f>
        <v xml:space="preserve"> </v>
      </c>
      <c r="R144" s="109" t="str">
        <f>IFERROR(VLOOKUP(Open[[#This Row],[TS ZH O/B 25.06.22 Rang]],$AJ$16:$AK$111,2,0)*R$5," ")</f>
        <v xml:space="preserve"> </v>
      </c>
      <c r="S144" s="109" t="str">
        <f>IFERROR(VLOOKUP(Open[[#This Row],[SM BE O/A 09.07.22 Rang]],$AJ$16:$AK$111,2,0)*S$5," ")</f>
        <v xml:space="preserve"> </v>
      </c>
      <c r="T144" s="109" t="str">
        <f>IFERROR(VLOOKUP(Open[[#This Row],[SM BE O/B 09.07.22 Rang]],$AJ$16:$AK$111,2,0)*T$5," ")</f>
        <v xml:space="preserve"> </v>
      </c>
      <c r="U144" s="11">
        <v>0</v>
      </c>
      <c r="V144" s="11">
        <v>0</v>
      </c>
      <c r="W144" s="11">
        <v>0</v>
      </c>
      <c r="X144" s="129"/>
      <c r="Y144" s="191"/>
      <c r="Z144" s="191">
        <v>19</v>
      </c>
      <c r="AA144" s="191"/>
      <c r="AB144" s="191"/>
      <c r="AC144" s="191"/>
      <c r="AD144" s="191"/>
      <c r="AE144" s="191"/>
      <c r="AF144" s="19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BB144" s="4"/>
      <c r="BC144" s="4"/>
      <c r="BD144" s="4"/>
      <c r="BE144" s="4"/>
      <c r="BF144" s="4"/>
      <c r="BG144" s="4"/>
      <c r="BH144" s="4"/>
      <c r="BI144" s="4"/>
    </row>
    <row r="145" spans="1:61" x14ac:dyDescent="0.2">
      <c r="A145" s="11">
        <v>119</v>
      </c>
      <c r="B145" s="11">
        <f>IF(Open[[#This Row],[PR Rang beim letzten Turnier]]&gt;Open[[#This Row],[PR Rang]],1,IF(Open[[#This Row],[PR Rang beim letzten Turnier]]=Open[[#This Row],[PR Rang]],0,-1))</f>
        <v>-1</v>
      </c>
      <c r="C145" s="147">
        <f>RANK(Open[[#This Row],[PR Punkte]],Open[PR Punkte],0)</f>
        <v>132</v>
      </c>
      <c r="D145" s="9" t="s">
        <v>501</v>
      </c>
      <c r="E145" s="9" t="s">
        <v>11</v>
      </c>
      <c r="F145" s="109">
        <f>SUM(Open[[#This Row],[PR 1]:[PR 3]])</f>
        <v>47.400000000000006</v>
      </c>
      <c r="G145" s="109">
        <f>LARGE(Open[[#This Row],[TS SH O 22.02.22]:[PR3]],1)</f>
        <v>47.400000000000006</v>
      </c>
      <c r="H145" s="109">
        <f>LARGE(Open[[#This Row],[TS SH O 22.02.22]:[PR3]],2)</f>
        <v>0</v>
      </c>
      <c r="I145" s="109">
        <f>LARGE(Open[[#This Row],[TS SH O 22.02.22]:[PR3]],3)</f>
        <v>0</v>
      </c>
      <c r="J145" s="9">
        <f>RANK(K145,$K$7:$K$361,0)</f>
        <v>132</v>
      </c>
      <c r="K145" s="109">
        <f>SUM(L145:W145)</f>
        <v>47.400000000000006</v>
      </c>
      <c r="L145" s="109"/>
      <c r="M145" s="109" t="str">
        <f>IFERROR(VLOOKUP(Open[[#This Row],[TS SH O 23.04.22 Rang]],$AJ$16:$AK$111,2,0)*M$5," ")</f>
        <v xml:space="preserve"> </v>
      </c>
      <c r="N145" s="109">
        <f>IFERROR(VLOOKUP(Open[[#This Row],[TS LA O 08.05.22 Rang]],$AJ$16:$AK$111,2,0)*N$5," ")</f>
        <v>47.400000000000006</v>
      </c>
      <c r="O145" s="109" t="str">
        <f>IFERROR(VLOOKUP(Open[[#This Row],[TS SG O 25.05.22 Rang]],$AJ$16:$AK$111,2,0)*O$5," ")</f>
        <v xml:space="preserve"> </v>
      </c>
      <c r="P145" s="109" t="str">
        <f>IFERROR(VLOOKUP(Open[[#This Row],[TS SH O 25.06.22 Rang]],$AJ$16:$AK$111,2,0)*P$5," ")</f>
        <v xml:space="preserve"> </v>
      </c>
      <c r="Q145" s="109" t="str">
        <f>IFERROR(VLOOKUP(Open[[#This Row],[TS ZH O/A 25.06.22 Rang]],$AJ$16:$AK$111,2,0)*Q$5," ")</f>
        <v xml:space="preserve"> </v>
      </c>
      <c r="R145" s="109" t="str">
        <f>IFERROR(VLOOKUP(Open[[#This Row],[TS ZH O/B 25.06.22 Rang]],$AJ$16:$AK$111,2,0)*R$5," ")</f>
        <v xml:space="preserve"> </v>
      </c>
      <c r="S145" s="109" t="str">
        <f>IFERROR(VLOOKUP(Open[[#This Row],[SM BE O/A 09.07.22 Rang]],$AJ$16:$AK$111,2,0)*S$5," ")</f>
        <v xml:space="preserve"> </v>
      </c>
      <c r="T145" s="109" t="str">
        <f>IFERROR(VLOOKUP(Open[[#This Row],[SM BE O/B 09.07.22 Rang]],$AJ$16:$AK$111,2,0)*T$5," ")</f>
        <v xml:space="preserve"> </v>
      </c>
      <c r="U145" s="11">
        <v>0</v>
      </c>
      <c r="V145" s="11">
        <v>0</v>
      </c>
      <c r="W145" s="11">
        <v>0</v>
      </c>
      <c r="X145" s="129"/>
      <c r="Y145" s="191"/>
      <c r="Z145" s="191">
        <v>19</v>
      </c>
      <c r="AA145" s="191"/>
      <c r="AB145" s="191"/>
      <c r="AC145" s="191"/>
      <c r="AD145" s="191"/>
      <c r="AE145" s="191"/>
      <c r="AF145" s="19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BB145" s="4"/>
      <c r="BC145" s="4"/>
      <c r="BD145" s="4"/>
      <c r="BE145" s="4"/>
      <c r="BF145" s="4"/>
      <c r="BG145" s="4"/>
      <c r="BH145" s="4"/>
      <c r="BI145" s="4"/>
    </row>
    <row r="146" spans="1:61" x14ac:dyDescent="0.2">
      <c r="A146" s="11">
        <v>119</v>
      </c>
      <c r="B146" s="11">
        <f>IF(Open[[#This Row],[PR Rang beim letzten Turnier]]&gt;Open[[#This Row],[PR Rang]],1,IF(Open[[#This Row],[PR Rang beim letzten Turnier]]=Open[[#This Row],[PR Rang]],0,-1))</f>
        <v>-1</v>
      </c>
      <c r="C146" s="147">
        <f>RANK(Open[[#This Row],[PR Punkte]],Open[PR Punkte],0)</f>
        <v>132</v>
      </c>
      <c r="D146" s="9" t="s">
        <v>510</v>
      </c>
      <c r="E146" s="9" t="s">
        <v>11</v>
      </c>
      <c r="F146" s="109">
        <f>SUM(Open[[#This Row],[PR 1]:[PR 3]])</f>
        <v>47.400000000000006</v>
      </c>
      <c r="G146" s="109">
        <f>LARGE(Open[[#This Row],[TS SH O 22.02.22]:[PR3]],1)</f>
        <v>47.400000000000006</v>
      </c>
      <c r="H146" s="109">
        <f>LARGE(Open[[#This Row],[TS SH O 22.02.22]:[PR3]],2)</f>
        <v>0</v>
      </c>
      <c r="I146" s="109">
        <f>LARGE(Open[[#This Row],[TS SH O 22.02.22]:[PR3]],3)</f>
        <v>0</v>
      </c>
      <c r="J146" s="9">
        <f>RANK(K146,$K$7:$K$361,0)</f>
        <v>132</v>
      </c>
      <c r="K146" s="109">
        <f>SUM(L146:W146)</f>
        <v>47.400000000000006</v>
      </c>
      <c r="L146" s="109"/>
      <c r="M146" s="109" t="str">
        <f>IFERROR(VLOOKUP(Open[[#This Row],[TS SH O 23.04.22 Rang]],$AJ$16:$AK$111,2,0)*M$5," ")</f>
        <v xml:space="preserve"> </v>
      </c>
      <c r="N146" s="109">
        <f>IFERROR(VLOOKUP(Open[[#This Row],[TS LA O 08.05.22 Rang]],$AJ$16:$AK$111,2,0)*N$5," ")</f>
        <v>47.400000000000006</v>
      </c>
      <c r="O146" s="109" t="str">
        <f>IFERROR(VLOOKUP(Open[[#This Row],[TS SG O 25.05.22 Rang]],$AJ$16:$AK$111,2,0)*O$5," ")</f>
        <v xml:space="preserve"> </v>
      </c>
      <c r="P146" s="109" t="str">
        <f>IFERROR(VLOOKUP(Open[[#This Row],[TS SH O 25.06.22 Rang]],$AJ$16:$AK$111,2,0)*P$5," ")</f>
        <v xml:space="preserve"> </v>
      </c>
      <c r="Q146" s="109" t="str">
        <f>IFERROR(VLOOKUP(Open[[#This Row],[TS ZH O/A 25.06.22 Rang]],$AJ$16:$AK$111,2,0)*Q$5," ")</f>
        <v xml:space="preserve"> </v>
      </c>
      <c r="R146" s="109" t="str">
        <f>IFERROR(VLOOKUP(Open[[#This Row],[TS ZH O/B 25.06.22 Rang]],$AJ$16:$AK$111,2,0)*R$5," ")</f>
        <v xml:space="preserve"> </v>
      </c>
      <c r="S146" s="109" t="str">
        <f>IFERROR(VLOOKUP(Open[[#This Row],[SM BE O/A 09.07.22 Rang]],$AJ$16:$AK$111,2,0)*S$5," ")</f>
        <v xml:space="preserve"> </v>
      </c>
      <c r="T146" s="109" t="str">
        <f>IFERROR(VLOOKUP(Open[[#This Row],[SM BE O/B 09.07.22 Rang]],$AJ$16:$AK$111,2,0)*T$5," ")</f>
        <v xml:space="preserve"> </v>
      </c>
      <c r="U146" s="11">
        <v>0</v>
      </c>
      <c r="V146" s="11">
        <v>0</v>
      </c>
      <c r="W146" s="11">
        <v>0</v>
      </c>
      <c r="X146" s="129"/>
      <c r="Y146" s="191"/>
      <c r="Z146" s="191">
        <v>20</v>
      </c>
      <c r="AA146" s="191"/>
      <c r="AB146" s="191"/>
      <c r="AC146" s="191"/>
      <c r="AD146" s="191"/>
      <c r="AE146" s="191"/>
      <c r="AF146" s="191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BB146" s="4"/>
      <c r="BC146" s="4"/>
      <c r="BD146" s="4"/>
      <c r="BE146" s="4"/>
      <c r="BF146" s="4"/>
      <c r="BG146" s="4"/>
      <c r="BH146" s="4"/>
      <c r="BI146" s="4"/>
    </row>
    <row r="147" spans="1:61" x14ac:dyDescent="0.2">
      <c r="A147" s="11">
        <v>119</v>
      </c>
      <c r="B147" s="11">
        <f>IF(Open[[#This Row],[PR Rang beim letzten Turnier]]&gt;Open[[#This Row],[PR Rang]],1,IF(Open[[#This Row],[PR Rang beim letzten Turnier]]=Open[[#This Row],[PR Rang]],0,-1))</f>
        <v>-1</v>
      </c>
      <c r="C147" s="147">
        <f>RANK(Open[[#This Row],[PR Punkte]],Open[PR Punkte],0)</f>
        <v>132</v>
      </c>
      <c r="D147" s="9" t="s">
        <v>499</v>
      </c>
      <c r="E147" s="9" t="s">
        <v>11</v>
      </c>
      <c r="F147" s="109">
        <f>SUM(Open[[#This Row],[PR 1]:[PR 3]])</f>
        <v>47.400000000000006</v>
      </c>
      <c r="G147" s="109">
        <f>LARGE(Open[[#This Row],[TS SH O 22.02.22]:[PR3]],1)</f>
        <v>47.400000000000006</v>
      </c>
      <c r="H147" s="109">
        <f>LARGE(Open[[#This Row],[TS SH O 22.02.22]:[PR3]],2)</f>
        <v>0</v>
      </c>
      <c r="I147" s="109">
        <f>LARGE(Open[[#This Row],[TS SH O 22.02.22]:[PR3]],3)</f>
        <v>0</v>
      </c>
      <c r="J147" s="9">
        <f>RANK(K147,$K$7:$K$361,0)</f>
        <v>132</v>
      </c>
      <c r="K147" s="109">
        <f>SUM(L147:W147)</f>
        <v>47.400000000000006</v>
      </c>
      <c r="L147" s="109"/>
      <c r="M147" s="109" t="str">
        <f>IFERROR(VLOOKUP(Open[[#This Row],[TS SH O 23.04.22 Rang]],$AJ$16:$AK$111,2,0)*M$5," ")</f>
        <v xml:space="preserve"> </v>
      </c>
      <c r="N147" s="109">
        <f>IFERROR(VLOOKUP(Open[[#This Row],[TS LA O 08.05.22 Rang]],$AJ$16:$AK$111,2,0)*N$5," ")</f>
        <v>47.400000000000006</v>
      </c>
      <c r="O147" s="109" t="str">
        <f>IFERROR(VLOOKUP(Open[[#This Row],[TS SG O 25.05.22 Rang]],$AJ$16:$AK$111,2,0)*O$5," ")</f>
        <v xml:space="preserve"> </v>
      </c>
      <c r="P147" s="109" t="str">
        <f>IFERROR(VLOOKUP(Open[[#This Row],[TS SH O 25.06.22 Rang]],$AJ$16:$AK$111,2,0)*P$5," ")</f>
        <v xml:space="preserve"> </v>
      </c>
      <c r="Q147" s="109" t="str">
        <f>IFERROR(VLOOKUP(Open[[#This Row],[TS ZH O/A 25.06.22 Rang]],$AJ$16:$AK$111,2,0)*Q$5," ")</f>
        <v xml:space="preserve"> </v>
      </c>
      <c r="R147" s="109" t="str">
        <f>IFERROR(VLOOKUP(Open[[#This Row],[TS ZH O/B 25.06.22 Rang]],$AJ$16:$AK$111,2,0)*R$5," ")</f>
        <v xml:space="preserve"> </v>
      </c>
      <c r="S147" s="109" t="str">
        <f>IFERROR(VLOOKUP(Open[[#This Row],[SM BE O/A 09.07.22 Rang]],$AJ$16:$AK$111,2,0)*S$5," ")</f>
        <v xml:space="preserve"> </v>
      </c>
      <c r="T147" s="109" t="str">
        <f>IFERROR(VLOOKUP(Open[[#This Row],[SM BE O/B 09.07.22 Rang]],$AJ$16:$AK$111,2,0)*T$5," ")</f>
        <v xml:space="preserve"> </v>
      </c>
      <c r="U147" s="11">
        <v>0</v>
      </c>
      <c r="V147" s="11">
        <v>0</v>
      </c>
      <c r="W147" s="11">
        <v>0</v>
      </c>
      <c r="X147" s="129"/>
      <c r="Y147" s="191"/>
      <c r="Z147" s="191">
        <v>20</v>
      </c>
      <c r="AA147" s="191"/>
      <c r="AB147" s="191"/>
      <c r="AC147" s="191"/>
      <c r="AD147" s="191"/>
      <c r="AE147" s="191"/>
      <c r="AF147" s="19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BB147" s="4"/>
      <c r="BC147" s="4"/>
      <c r="BD147" s="4"/>
      <c r="BE147" s="4"/>
      <c r="BF147" s="4"/>
      <c r="BG147" s="4"/>
      <c r="BH147" s="4"/>
      <c r="BI147" s="4"/>
    </row>
    <row r="148" spans="1:61" x14ac:dyDescent="0.2">
      <c r="A148" s="11">
        <v>119</v>
      </c>
      <c r="B148" s="11">
        <f>IF(Open[[#This Row],[PR Rang beim letzten Turnier]]&gt;Open[[#This Row],[PR Rang]],1,IF(Open[[#This Row],[PR Rang beim letzten Turnier]]=Open[[#This Row],[PR Rang]],0,-1))</f>
        <v>-1</v>
      </c>
      <c r="C148" s="147">
        <f>RANK(Open[[#This Row],[PR Punkte]],Open[PR Punkte],0)</f>
        <v>132</v>
      </c>
      <c r="D148" s="9" t="s">
        <v>505</v>
      </c>
      <c r="E148" s="9" t="s">
        <v>11</v>
      </c>
      <c r="F148" s="109">
        <f>SUM(Open[[#This Row],[PR 1]:[PR 3]])</f>
        <v>47.400000000000006</v>
      </c>
      <c r="G148" s="109">
        <f>LARGE(Open[[#This Row],[TS SH O 22.02.22]:[PR3]],1)</f>
        <v>47.400000000000006</v>
      </c>
      <c r="H148" s="109">
        <f>LARGE(Open[[#This Row],[TS SH O 22.02.22]:[PR3]],2)</f>
        <v>0</v>
      </c>
      <c r="I148" s="109">
        <f>LARGE(Open[[#This Row],[TS SH O 22.02.22]:[PR3]],3)</f>
        <v>0</v>
      </c>
      <c r="J148" s="9">
        <f>RANK(K148,$K$7:$K$361,0)</f>
        <v>132</v>
      </c>
      <c r="K148" s="109">
        <f>SUM(L148:W148)</f>
        <v>47.400000000000006</v>
      </c>
      <c r="L148" s="109"/>
      <c r="M148" s="109" t="str">
        <f>IFERROR(VLOOKUP(Open[[#This Row],[TS SH O 23.04.22 Rang]],$AJ$16:$AK$111,2,0)*M$5," ")</f>
        <v xml:space="preserve"> </v>
      </c>
      <c r="N148" s="109">
        <f>IFERROR(VLOOKUP(Open[[#This Row],[TS LA O 08.05.22 Rang]],$AJ$16:$AK$111,2,0)*N$5," ")</f>
        <v>47.400000000000006</v>
      </c>
      <c r="O148" s="109" t="str">
        <f>IFERROR(VLOOKUP(Open[[#This Row],[TS SG O 25.05.22 Rang]],$AJ$16:$AK$111,2,0)*O$5," ")</f>
        <v xml:space="preserve"> </v>
      </c>
      <c r="P148" s="109" t="str">
        <f>IFERROR(VLOOKUP(Open[[#This Row],[TS SH O 25.06.22 Rang]],$AJ$16:$AK$111,2,0)*P$5," ")</f>
        <v xml:space="preserve"> </v>
      </c>
      <c r="Q148" s="109" t="str">
        <f>IFERROR(VLOOKUP(Open[[#This Row],[TS ZH O/A 25.06.22 Rang]],$AJ$16:$AK$111,2,0)*Q$5," ")</f>
        <v xml:space="preserve"> </v>
      </c>
      <c r="R148" s="109" t="str">
        <f>IFERROR(VLOOKUP(Open[[#This Row],[TS ZH O/B 25.06.22 Rang]],$AJ$16:$AK$111,2,0)*R$5," ")</f>
        <v xml:space="preserve"> </v>
      </c>
      <c r="S148" s="109" t="str">
        <f>IFERROR(VLOOKUP(Open[[#This Row],[SM BE O/A 09.07.22 Rang]],$AJ$16:$AK$111,2,0)*S$5," ")</f>
        <v xml:space="preserve"> </v>
      </c>
      <c r="T148" s="109" t="str">
        <f>IFERROR(VLOOKUP(Open[[#This Row],[SM BE O/B 09.07.22 Rang]],$AJ$16:$AK$111,2,0)*T$5," ")</f>
        <v xml:space="preserve"> </v>
      </c>
      <c r="U148" s="11">
        <v>0</v>
      </c>
      <c r="V148" s="11">
        <v>0</v>
      </c>
      <c r="W148" s="11">
        <v>0</v>
      </c>
      <c r="X148" s="129"/>
      <c r="Y148" s="191"/>
      <c r="Z148" s="191">
        <v>24</v>
      </c>
      <c r="AA148" s="191"/>
      <c r="AB148" s="191"/>
      <c r="AC148" s="191"/>
      <c r="AD148" s="191"/>
      <c r="AE148" s="191"/>
      <c r="AF148" s="19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BB148" s="4"/>
      <c r="BC148" s="4"/>
      <c r="BD148" s="4"/>
      <c r="BE148" s="4"/>
      <c r="BF148" s="4"/>
      <c r="BG148" s="4"/>
      <c r="BH148" s="4"/>
      <c r="BI148" s="4"/>
    </row>
    <row r="149" spans="1:61" x14ac:dyDescent="0.2">
      <c r="A149" s="11">
        <v>119</v>
      </c>
      <c r="B149" s="11">
        <f>IF(Open[[#This Row],[PR Rang beim letzten Turnier]]&gt;Open[[#This Row],[PR Rang]],1,IF(Open[[#This Row],[PR Rang beim letzten Turnier]]=Open[[#This Row],[PR Rang]],0,-1))</f>
        <v>-1</v>
      </c>
      <c r="C149" s="147">
        <f>RANK(Open[[#This Row],[PR Punkte]],Open[PR Punkte],0)</f>
        <v>132</v>
      </c>
      <c r="D149" s="9" t="s">
        <v>516</v>
      </c>
      <c r="E149" s="9" t="s">
        <v>11</v>
      </c>
      <c r="F149" s="109">
        <f>SUM(Open[[#This Row],[PR 1]:[PR 3]])</f>
        <v>47.400000000000006</v>
      </c>
      <c r="G149" s="109">
        <f>LARGE(Open[[#This Row],[TS SH O 22.02.22]:[PR3]],1)</f>
        <v>47.400000000000006</v>
      </c>
      <c r="H149" s="109">
        <f>LARGE(Open[[#This Row],[TS SH O 22.02.22]:[PR3]],2)</f>
        <v>0</v>
      </c>
      <c r="I149" s="109">
        <f>LARGE(Open[[#This Row],[TS SH O 22.02.22]:[PR3]],3)</f>
        <v>0</v>
      </c>
      <c r="J149" s="9">
        <f>RANK(K149,$K$7:$K$361,0)</f>
        <v>132</v>
      </c>
      <c r="K149" s="109">
        <f>SUM(L149:W149)</f>
        <v>47.400000000000006</v>
      </c>
      <c r="L149" s="109"/>
      <c r="M149" s="109" t="str">
        <f>IFERROR(VLOOKUP(Open[[#This Row],[TS SH O 23.04.22 Rang]],$AJ$16:$AK$111,2,0)*M$5," ")</f>
        <v xml:space="preserve"> </v>
      </c>
      <c r="N149" s="109">
        <f>IFERROR(VLOOKUP(Open[[#This Row],[TS LA O 08.05.22 Rang]],$AJ$16:$AK$111,2,0)*N$5," ")</f>
        <v>47.400000000000006</v>
      </c>
      <c r="O149" s="109" t="str">
        <f>IFERROR(VLOOKUP(Open[[#This Row],[TS SG O 25.05.22 Rang]],$AJ$16:$AK$111,2,0)*O$5," ")</f>
        <v xml:space="preserve"> </v>
      </c>
      <c r="P149" s="109" t="str">
        <f>IFERROR(VLOOKUP(Open[[#This Row],[TS SH O 25.06.22 Rang]],$AJ$16:$AK$111,2,0)*P$5," ")</f>
        <v xml:space="preserve"> </v>
      </c>
      <c r="Q149" s="109" t="str">
        <f>IFERROR(VLOOKUP(Open[[#This Row],[TS ZH O/A 25.06.22 Rang]],$AJ$16:$AK$111,2,0)*Q$5," ")</f>
        <v xml:space="preserve"> </v>
      </c>
      <c r="R149" s="109" t="str">
        <f>IFERROR(VLOOKUP(Open[[#This Row],[TS ZH O/B 25.06.22 Rang]],$AJ$16:$AK$111,2,0)*R$5," ")</f>
        <v xml:space="preserve"> </v>
      </c>
      <c r="S149" s="109" t="str">
        <f>IFERROR(VLOOKUP(Open[[#This Row],[SM BE O/A 09.07.22 Rang]],$AJ$16:$AK$111,2,0)*S$5," ")</f>
        <v xml:space="preserve"> </v>
      </c>
      <c r="T149" s="109" t="str">
        <f>IFERROR(VLOOKUP(Open[[#This Row],[SM BE O/B 09.07.22 Rang]],$AJ$16:$AK$111,2,0)*T$5," ")</f>
        <v xml:space="preserve"> </v>
      </c>
      <c r="U149" s="11">
        <v>0</v>
      </c>
      <c r="V149" s="11">
        <v>0</v>
      </c>
      <c r="W149" s="11">
        <v>0</v>
      </c>
      <c r="X149" s="129"/>
      <c r="Y149" s="191"/>
      <c r="Z149" s="191">
        <v>24</v>
      </c>
      <c r="AA149" s="191"/>
      <c r="AB149" s="191"/>
      <c r="AC149" s="191"/>
      <c r="AD149" s="191"/>
      <c r="AE149" s="191"/>
      <c r="AF149" s="19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BB149" s="4"/>
      <c r="BC149" s="4"/>
      <c r="BD149" s="4"/>
      <c r="BE149" s="4"/>
      <c r="BF149" s="4"/>
      <c r="BG149" s="4"/>
      <c r="BH149" s="4"/>
      <c r="BI149" s="4"/>
    </row>
    <row r="150" spans="1:61" x14ac:dyDescent="0.2">
      <c r="A150" s="11">
        <v>119</v>
      </c>
      <c r="B150" s="11">
        <f>IF(Open[[#This Row],[PR Rang beim letzten Turnier]]&gt;Open[[#This Row],[PR Rang]],1,IF(Open[[#This Row],[PR Rang beim letzten Turnier]]=Open[[#This Row],[PR Rang]],0,-1))</f>
        <v>-1</v>
      </c>
      <c r="C150" s="147">
        <f>RANK(Open[[#This Row],[PR Punkte]],Open[PR Punkte],0)</f>
        <v>132</v>
      </c>
      <c r="D150" s="9" t="s">
        <v>496</v>
      </c>
      <c r="E150" s="9" t="s">
        <v>488</v>
      </c>
      <c r="F150" s="109">
        <f>SUM(Open[[#This Row],[PR 1]:[PR 3]])</f>
        <v>47.400000000000006</v>
      </c>
      <c r="G150" s="109">
        <f>LARGE(Open[[#This Row],[TS SH O 22.02.22]:[PR3]],1)</f>
        <v>47.400000000000006</v>
      </c>
      <c r="H150" s="109">
        <f>LARGE(Open[[#This Row],[TS SH O 22.02.22]:[PR3]],2)</f>
        <v>0</v>
      </c>
      <c r="I150" s="109">
        <f>LARGE(Open[[#This Row],[TS SH O 22.02.22]:[PR3]],3)</f>
        <v>0</v>
      </c>
      <c r="J150" s="9">
        <f>RANK(K150,$K$7:$K$361,0)</f>
        <v>132</v>
      </c>
      <c r="K150" s="109">
        <f>SUM(L150:W150)</f>
        <v>47.400000000000006</v>
      </c>
      <c r="L150" s="109"/>
      <c r="M150" s="109" t="str">
        <f>IFERROR(VLOOKUP(Open[[#This Row],[TS SH O 23.04.22 Rang]],$AJ$16:$AK$111,2,0)*M$5," ")</f>
        <v xml:space="preserve"> </v>
      </c>
      <c r="N150" s="109">
        <f>IFERROR(VLOOKUP(Open[[#This Row],[TS LA O 08.05.22 Rang]],$AJ$16:$AK$111,2,0)*N$5," ")</f>
        <v>47.400000000000006</v>
      </c>
      <c r="O150" s="109" t="str">
        <f>IFERROR(VLOOKUP(Open[[#This Row],[TS SG O 25.05.22 Rang]],$AJ$16:$AK$111,2,0)*O$5," ")</f>
        <v xml:space="preserve"> </v>
      </c>
      <c r="P150" s="109" t="str">
        <f>IFERROR(VLOOKUP(Open[[#This Row],[TS SH O 25.06.22 Rang]],$AJ$16:$AK$111,2,0)*P$5," ")</f>
        <v xml:space="preserve"> </v>
      </c>
      <c r="Q150" s="109" t="str">
        <f>IFERROR(VLOOKUP(Open[[#This Row],[TS ZH O/A 25.06.22 Rang]],$AJ$16:$AK$111,2,0)*Q$5," ")</f>
        <v xml:space="preserve"> </v>
      </c>
      <c r="R150" s="109" t="str">
        <f>IFERROR(VLOOKUP(Open[[#This Row],[TS ZH O/B 25.06.22 Rang]],$AJ$16:$AK$111,2,0)*R$5," ")</f>
        <v xml:space="preserve"> </v>
      </c>
      <c r="S150" s="109" t="str">
        <f>IFERROR(VLOOKUP(Open[[#This Row],[SM BE O/A 09.07.22 Rang]],$AJ$16:$AK$111,2,0)*S$5," ")</f>
        <v xml:space="preserve"> </v>
      </c>
      <c r="T150" s="109" t="str">
        <f>IFERROR(VLOOKUP(Open[[#This Row],[SM BE O/B 09.07.22 Rang]],$AJ$16:$AK$111,2,0)*T$5," ")</f>
        <v xml:space="preserve"> </v>
      </c>
      <c r="U150" s="11">
        <v>0</v>
      </c>
      <c r="V150" s="11">
        <v>0</v>
      </c>
      <c r="W150" s="11">
        <v>0</v>
      </c>
      <c r="X150" s="129"/>
      <c r="Y150" s="191"/>
      <c r="Z150" s="191">
        <v>25</v>
      </c>
      <c r="AA150" s="191"/>
      <c r="AB150" s="191"/>
      <c r="AC150" s="191"/>
      <c r="AD150" s="191"/>
      <c r="AE150" s="191"/>
      <c r="AF150" s="19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BB150" s="4"/>
      <c r="BC150" s="4"/>
      <c r="BD150" s="4"/>
      <c r="BE150" s="4"/>
      <c r="BF150" s="4"/>
      <c r="BG150" s="4"/>
      <c r="BH150" s="4"/>
      <c r="BI150" s="4"/>
    </row>
    <row r="151" spans="1:61" x14ac:dyDescent="0.2">
      <c r="A151" s="11">
        <v>119</v>
      </c>
      <c r="B151" s="11">
        <f>IF(Open[[#This Row],[PR Rang beim letzten Turnier]]&gt;Open[[#This Row],[PR Rang]],1,IF(Open[[#This Row],[PR Rang beim letzten Turnier]]=Open[[#This Row],[PR Rang]],0,-1))</f>
        <v>-1</v>
      </c>
      <c r="C151" s="147">
        <f>RANK(Open[[#This Row],[PR Punkte]],Open[PR Punkte],0)</f>
        <v>132</v>
      </c>
      <c r="D151" s="9" t="s">
        <v>498</v>
      </c>
      <c r="E151" s="9" t="s">
        <v>11</v>
      </c>
      <c r="F151" s="109">
        <f>SUM(Open[[#This Row],[PR 1]:[PR 3]])</f>
        <v>47.400000000000006</v>
      </c>
      <c r="G151" s="109">
        <f>LARGE(Open[[#This Row],[TS SH O 22.02.22]:[PR3]],1)</f>
        <v>47.400000000000006</v>
      </c>
      <c r="H151" s="109">
        <f>LARGE(Open[[#This Row],[TS SH O 22.02.22]:[PR3]],2)</f>
        <v>0</v>
      </c>
      <c r="I151" s="109">
        <f>LARGE(Open[[#This Row],[TS SH O 22.02.22]:[PR3]],3)</f>
        <v>0</v>
      </c>
      <c r="J151" s="9">
        <f>RANK(K151,$K$7:$K$361,0)</f>
        <v>132</v>
      </c>
      <c r="K151" s="109">
        <f>SUM(L151:W151)</f>
        <v>47.400000000000006</v>
      </c>
      <c r="L151" s="109"/>
      <c r="M151" s="109" t="str">
        <f>IFERROR(VLOOKUP(Open[[#This Row],[TS SH O 23.04.22 Rang]],$AJ$16:$AK$111,2,0)*M$5," ")</f>
        <v xml:space="preserve"> </v>
      </c>
      <c r="N151" s="109">
        <f>IFERROR(VLOOKUP(Open[[#This Row],[TS LA O 08.05.22 Rang]],$AJ$16:$AK$111,2,0)*N$5," ")</f>
        <v>47.400000000000006</v>
      </c>
      <c r="O151" s="109" t="str">
        <f>IFERROR(VLOOKUP(Open[[#This Row],[TS SG O 25.05.22 Rang]],$AJ$16:$AK$111,2,0)*O$5," ")</f>
        <v xml:space="preserve"> </v>
      </c>
      <c r="P151" s="109" t="str">
        <f>IFERROR(VLOOKUP(Open[[#This Row],[TS SH O 25.06.22 Rang]],$AJ$16:$AK$111,2,0)*P$5," ")</f>
        <v xml:space="preserve"> </v>
      </c>
      <c r="Q151" s="109" t="str">
        <f>IFERROR(VLOOKUP(Open[[#This Row],[TS ZH O/A 25.06.22 Rang]],$AJ$16:$AK$111,2,0)*Q$5," ")</f>
        <v xml:space="preserve"> </v>
      </c>
      <c r="R151" s="109" t="str">
        <f>IFERROR(VLOOKUP(Open[[#This Row],[TS ZH O/B 25.06.22 Rang]],$AJ$16:$AK$111,2,0)*R$5," ")</f>
        <v xml:space="preserve"> </v>
      </c>
      <c r="S151" s="109" t="str">
        <f>IFERROR(VLOOKUP(Open[[#This Row],[SM BE O/A 09.07.22 Rang]],$AJ$16:$AK$111,2,0)*S$5," ")</f>
        <v xml:space="preserve"> </v>
      </c>
      <c r="T151" s="109" t="str">
        <f>IFERROR(VLOOKUP(Open[[#This Row],[SM BE O/B 09.07.22 Rang]],$AJ$16:$AK$111,2,0)*T$5," ")</f>
        <v xml:space="preserve"> </v>
      </c>
      <c r="U151" s="11">
        <v>0</v>
      </c>
      <c r="V151" s="11">
        <v>0</v>
      </c>
      <c r="W151" s="11">
        <v>0</v>
      </c>
      <c r="X151" s="129"/>
      <c r="Y151" s="191"/>
      <c r="Z151" s="191">
        <v>26</v>
      </c>
      <c r="AA151" s="191"/>
      <c r="AB151" s="191"/>
      <c r="AC151" s="191"/>
      <c r="AD151" s="191"/>
      <c r="AE151" s="191"/>
      <c r="AF151" s="19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BB151" s="4"/>
      <c r="BC151" s="4"/>
      <c r="BD151" s="4"/>
      <c r="BE151" s="4"/>
      <c r="BF151" s="4"/>
      <c r="BG151" s="4"/>
      <c r="BH151" s="4"/>
      <c r="BI151" s="4"/>
    </row>
    <row r="152" spans="1:61" x14ac:dyDescent="0.2">
      <c r="A152" s="11">
        <v>119</v>
      </c>
      <c r="B152" s="11">
        <f>IF(Open[[#This Row],[PR Rang beim letzten Turnier]]&gt;Open[[#This Row],[PR Rang]],1,IF(Open[[#This Row],[PR Rang beim letzten Turnier]]=Open[[#This Row],[PR Rang]],0,-1))</f>
        <v>-1</v>
      </c>
      <c r="C152" s="147">
        <f>RANK(Open[[#This Row],[PR Punkte]],Open[PR Punkte],0)</f>
        <v>132</v>
      </c>
      <c r="D152" s="9" t="s">
        <v>509</v>
      </c>
      <c r="E152" s="9" t="s">
        <v>11</v>
      </c>
      <c r="F152" s="109">
        <f>SUM(Open[[#This Row],[PR 1]:[PR 3]])</f>
        <v>47.400000000000006</v>
      </c>
      <c r="G152" s="109">
        <f>LARGE(Open[[#This Row],[TS SH O 22.02.22]:[PR3]],1)</f>
        <v>47.400000000000006</v>
      </c>
      <c r="H152" s="109">
        <f>LARGE(Open[[#This Row],[TS SH O 22.02.22]:[PR3]],2)</f>
        <v>0</v>
      </c>
      <c r="I152" s="109">
        <f>LARGE(Open[[#This Row],[TS SH O 22.02.22]:[PR3]],3)</f>
        <v>0</v>
      </c>
      <c r="J152" s="9">
        <f>RANK(K152,$K$7:$K$361,0)</f>
        <v>132</v>
      </c>
      <c r="K152" s="109">
        <f>SUM(L152:W152)</f>
        <v>47.400000000000006</v>
      </c>
      <c r="L152" s="109"/>
      <c r="M152" s="109" t="str">
        <f>IFERROR(VLOOKUP(Open[[#This Row],[TS SH O 23.04.22 Rang]],$AJ$16:$AK$111,2,0)*M$5," ")</f>
        <v xml:space="preserve"> </v>
      </c>
      <c r="N152" s="109">
        <f>IFERROR(VLOOKUP(Open[[#This Row],[TS LA O 08.05.22 Rang]],$AJ$16:$AK$111,2,0)*N$5," ")</f>
        <v>47.400000000000006</v>
      </c>
      <c r="O152" s="109" t="str">
        <f>IFERROR(VLOOKUP(Open[[#This Row],[TS SG O 25.05.22 Rang]],$AJ$16:$AK$111,2,0)*O$5," ")</f>
        <v xml:space="preserve"> </v>
      </c>
      <c r="P152" s="109" t="str">
        <f>IFERROR(VLOOKUP(Open[[#This Row],[TS SH O 25.06.22 Rang]],$AJ$16:$AK$111,2,0)*P$5," ")</f>
        <v xml:space="preserve"> </v>
      </c>
      <c r="Q152" s="109" t="str">
        <f>IFERROR(VLOOKUP(Open[[#This Row],[TS ZH O/A 25.06.22 Rang]],$AJ$16:$AK$111,2,0)*Q$5," ")</f>
        <v xml:space="preserve"> </v>
      </c>
      <c r="R152" s="109" t="str">
        <f>IFERROR(VLOOKUP(Open[[#This Row],[TS ZH O/B 25.06.22 Rang]],$AJ$16:$AK$111,2,0)*R$5," ")</f>
        <v xml:space="preserve"> </v>
      </c>
      <c r="S152" s="109" t="str">
        <f>IFERROR(VLOOKUP(Open[[#This Row],[SM BE O/A 09.07.22 Rang]],$AJ$16:$AK$111,2,0)*S$5," ")</f>
        <v xml:space="preserve"> </v>
      </c>
      <c r="T152" s="109" t="str">
        <f>IFERROR(VLOOKUP(Open[[#This Row],[SM BE O/B 09.07.22 Rang]],$AJ$16:$AK$111,2,0)*T$5," ")</f>
        <v xml:space="preserve"> </v>
      </c>
      <c r="U152" s="11">
        <v>0</v>
      </c>
      <c r="V152" s="11">
        <v>0</v>
      </c>
      <c r="W152" s="11">
        <v>0</v>
      </c>
      <c r="X152" s="129"/>
      <c r="Y152" s="191"/>
      <c r="Z152" s="191">
        <v>26</v>
      </c>
      <c r="AA152" s="191"/>
      <c r="AB152" s="191"/>
      <c r="AC152" s="191"/>
      <c r="AD152" s="191"/>
      <c r="AE152" s="191"/>
      <c r="AF152" s="19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BB152" s="4"/>
      <c r="BC152" s="4"/>
      <c r="BD152" s="4"/>
      <c r="BE152" s="4"/>
      <c r="BF152" s="4"/>
      <c r="BG152" s="4"/>
      <c r="BH152" s="4"/>
      <c r="BI152" s="4"/>
    </row>
    <row r="153" spans="1:61" x14ac:dyDescent="0.2">
      <c r="A153" s="11">
        <v>119</v>
      </c>
      <c r="B153" s="11">
        <f>IF(Open[[#This Row],[PR Rang beim letzten Turnier]]&gt;Open[[#This Row],[PR Rang]],1,IF(Open[[#This Row],[PR Rang beim letzten Turnier]]=Open[[#This Row],[PR Rang]],0,-1))</f>
        <v>-1</v>
      </c>
      <c r="C153" s="147">
        <f>RANK(Open[[#This Row],[PR Punkte]],Open[PR Punkte],0)</f>
        <v>132</v>
      </c>
      <c r="D153" s="9" t="s">
        <v>507</v>
      </c>
      <c r="E153" s="9" t="s">
        <v>11</v>
      </c>
      <c r="F153" s="109">
        <f>SUM(Open[[#This Row],[PR 1]:[PR 3]])</f>
        <v>47.400000000000006</v>
      </c>
      <c r="G153" s="109">
        <f>LARGE(Open[[#This Row],[TS SH O 22.02.22]:[PR3]],1)</f>
        <v>47.400000000000006</v>
      </c>
      <c r="H153" s="109">
        <f>LARGE(Open[[#This Row],[TS SH O 22.02.22]:[PR3]],2)</f>
        <v>0</v>
      </c>
      <c r="I153" s="109">
        <f>LARGE(Open[[#This Row],[TS SH O 22.02.22]:[PR3]],3)</f>
        <v>0</v>
      </c>
      <c r="J153" s="9">
        <f>RANK(K153,$K$7:$K$361,0)</f>
        <v>132</v>
      </c>
      <c r="K153" s="109">
        <f>SUM(L153:W153)</f>
        <v>47.400000000000006</v>
      </c>
      <c r="L153" s="109"/>
      <c r="M153" s="109" t="str">
        <f>IFERROR(VLOOKUP(Open[[#This Row],[TS SH O 23.04.22 Rang]],$AJ$16:$AK$111,2,0)*M$5," ")</f>
        <v xml:space="preserve"> </v>
      </c>
      <c r="N153" s="109">
        <f>IFERROR(VLOOKUP(Open[[#This Row],[TS LA O 08.05.22 Rang]],$AJ$16:$AK$111,2,0)*N$5," ")</f>
        <v>47.400000000000006</v>
      </c>
      <c r="O153" s="109" t="str">
        <f>IFERROR(VLOOKUP(Open[[#This Row],[TS SG O 25.05.22 Rang]],$AJ$16:$AK$111,2,0)*O$5," ")</f>
        <v xml:space="preserve"> </v>
      </c>
      <c r="P153" s="109" t="str">
        <f>IFERROR(VLOOKUP(Open[[#This Row],[TS SH O 25.06.22 Rang]],$AJ$16:$AK$111,2,0)*P$5," ")</f>
        <v xml:space="preserve"> </v>
      </c>
      <c r="Q153" s="109" t="str">
        <f>IFERROR(VLOOKUP(Open[[#This Row],[TS ZH O/A 25.06.22 Rang]],$AJ$16:$AK$111,2,0)*Q$5," ")</f>
        <v xml:space="preserve"> </v>
      </c>
      <c r="R153" s="109" t="str">
        <f>IFERROR(VLOOKUP(Open[[#This Row],[TS ZH O/B 25.06.22 Rang]],$AJ$16:$AK$111,2,0)*R$5," ")</f>
        <v xml:space="preserve"> </v>
      </c>
      <c r="S153" s="109" t="str">
        <f>IFERROR(VLOOKUP(Open[[#This Row],[SM BE O/A 09.07.22 Rang]],$AJ$16:$AK$111,2,0)*S$5," ")</f>
        <v xml:space="preserve"> </v>
      </c>
      <c r="T153" s="109" t="str">
        <f>IFERROR(VLOOKUP(Open[[#This Row],[SM BE O/B 09.07.22 Rang]],$AJ$16:$AK$111,2,0)*T$5," ")</f>
        <v xml:space="preserve"> </v>
      </c>
      <c r="U153" s="11">
        <v>0</v>
      </c>
      <c r="V153" s="11">
        <v>0</v>
      </c>
      <c r="W153" s="11">
        <v>0</v>
      </c>
      <c r="X153" s="129"/>
      <c r="Y153" s="191"/>
      <c r="Z153" s="191">
        <v>27</v>
      </c>
      <c r="AA153" s="191"/>
      <c r="AB153" s="191"/>
      <c r="AC153" s="191"/>
      <c r="AD153" s="191"/>
      <c r="AE153" s="191"/>
      <c r="AF153" s="19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BB153" s="4"/>
      <c r="BC153" s="4"/>
      <c r="BD153" s="4"/>
      <c r="BE153" s="4"/>
      <c r="BF153" s="4"/>
      <c r="BG153" s="4"/>
      <c r="BH153" s="4"/>
      <c r="BI153" s="4"/>
    </row>
    <row r="154" spans="1:61" x14ac:dyDescent="0.2">
      <c r="A154" s="11">
        <v>119</v>
      </c>
      <c r="B154" s="11">
        <f>IF(Open[[#This Row],[PR Rang beim letzten Turnier]]&gt;Open[[#This Row],[PR Rang]],1,IF(Open[[#This Row],[PR Rang beim letzten Turnier]]=Open[[#This Row],[PR Rang]],0,-1))</f>
        <v>-1</v>
      </c>
      <c r="C154" s="147">
        <f>RANK(Open[[#This Row],[PR Punkte]],Open[PR Punkte],0)</f>
        <v>132</v>
      </c>
      <c r="D154" s="9" t="s">
        <v>518</v>
      </c>
      <c r="E154" s="9" t="s">
        <v>11</v>
      </c>
      <c r="F154" s="109">
        <f>SUM(Open[[#This Row],[PR 1]:[PR 3]])</f>
        <v>47.400000000000006</v>
      </c>
      <c r="G154" s="109">
        <f>LARGE(Open[[#This Row],[TS SH O 22.02.22]:[PR3]],1)</f>
        <v>47.400000000000006</v>
      </c>
      <c r="H154" s="109">
        <f>LARGE(Open[[#This Row],[TS SH O 22.02.22]:[PR3]],2)</f>
        <v>0</v>
      </c>
      <c r="I154" s="109">
        <f>LARGE(Open[[#This Row],[TS SH O 22.02.22]:[PR3]],3)</f>
        <v>0</v>
      </c>
      <c r="J154" s="9">
        <f>RANK(K154,$K$7:$K$361,0)</f>
        <v>132</v>
      </c>
      <c r="K154" s="109">
        <f>SUM(L154:W154)</f>
        <v>47.400000000000006</v>
      </c>
      <c r="L154" s="109"/>
      <c r="M154" s="109" t="str">
        <f>IFERROR(VLOOKUP(Open[[#This Row],[TS SH O 23.04.22 Rang]],$AJ$16:$AK$111,2,0)*M$5," ")</f>
        <v xml:space="preserve"> </v>
      </c>
      <c r="N154" s="109">
        <f>IFERROR(VLOOKUP(Open[[#This Row],[TS LA O 08.05.22 Rang]],$AJ$16:$AK$111,2,0)*N$5," ")</f>
        <v>47.400000000000006</v>
      </c>
      <c r="O154" s="109" t="str">
        <f>IFERROR(VLOOKUP(Open[[#This Row],[TS SG O 25.05.22 Rang]],$AJ$16:$AK$111,2,0)*O$5," ")</f>
        <v xml:space="preserve"> </v>
      </c>
      <c r="P154" s="109" t="str">
        <f>IFERROR(VLOOKUP(Open[[#This Row],[TS SH O 25.06.22 Rang]],$AJ$16:$AK$111,2,0)*P$5," ")</f>
        <v xml:space="preserve"> </v>
      </c>
      <c r="Q154" s="109" t="str">
        <f>IFERROR(VLOOKUP(Open[[#This Row],[TS ZH O/A 25.06.22 Rang]],$AJ$16:$AK$111,2,0)*Q$5," ")</f>
        <v xml:space="preserve"> </v>
      </c>
      <c r="R154" s="109" t="str">
        <f>IFERROR(VLOOKUP(Open[[#This Row],[TS ZH O/B 25.06.22 Rang]],$AJ$16:$AK$111,2,0)*R$5," ")</f>
        <v xml:space="preserve"> </v>
      </c>
      <c r="S154" s="109" t="str">
        <f>IFERROR(VLOOKUP(Open[[#This Row],[SM BE O/A 09.07.22 Rang]],$AJ$16:$AK$111,2,0)*S$5," ")</f>
        <v xml:space="preserve"> </v>
      </c>
      <c r="T154" s="109" t="str">
        <f>IFERROR(VLOOKUP(Open[[#This Row],[SM BE O/B 09.07.22 Rang]],$AJ$16:$AK$111,2,0)*T$5," ")</f>
        <v xml:space="preserve"> </v>
      </c>
      <c r="U154" s="11">
        <v>0</v>
      </c>
      <c r="V154" s="11">
        <v>0</v>
      </c>
      <c r="W154" s="11">
        <v>0</v>
      </c>
      <c r="X154" s="129"/>
      <c r="Y154" s="191"/>
      <c r="Z154" s="191">
        <v>27</v>
      </c>
      <c r="AA154" s="191"/>
      <c r="AB154" s="191"/>
      <c r="AC154" s="191"/>
      <c r="AD154" s="191"/>
      <c r="AE154" s="191"/>
      <c r="AF154" s="19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BB154" s="4"/>
      <c r="BC154" s="4"/>
      <c r="BD154" s="4"/>
      <c r="BE154" s="4"/>
      <c r="BF154" s="4"/>
      <c r="BG154" s="4"/>
      <c r="BH154" s="4"/>
      <c r="BI154" s="4"/>
    </row>
    <row r="155" spans="1:61" x14ac:dyDescent="0.2">
      <c r="A155" s="11">
        <v>119</v>
      </c>
      <c r="B155" s="11">
        <f>IF(Open[[#This Row],[PR Rang beim letzten Turnier]]&gt;Open[[#This Row],[PR Rang]],1,IF(Open[[#This Row],[PR Rang beim letzten Turnier]]=Open[[#This Row],[PR Rang]],0,-1))</f>
        <v>-1</v>
      </c>
      <c r="C155" s="147">
        <f>RANK(Open[[#This Row],[PR Punkte]],Open[PR Punkte],0)</f>
        <v>132</v>
      </c>
      <c r="D155" s="9" t="s">
        <v>508</v>
      </c>
      <c r="E155" s="9" t="s">
        <v>11</v>
      </c>
      <c r="F155" s="109">
        <f>SUM(Open[[#This Row],[PR 1]:[PR 3]])</f>
        <v>47.400000000000006</v>
      </c>
      <c r="G155" s="109">
        <f>LARGE(Open[[#This Row],[TS SH O 22.02.22]:[PR3]],1)</f>
        <v>47.400000000000006</v>
      </c>
      <c r="H155" s="109">
        <f>LARGE(Open[[#This Row],[TS SH O 22.02.22]:[PR3]],2)</f>
        <v>0</v>
      </c>
      <c r="I155" s="109">
        <f>LARGE(Open[[#This Row],[TS SH O 22.02.22]:[PR3]],3)</f>
        <v>0</v>
      </c>
      <c r="J155" s="9">
        <f>RANK(K155,$K$7:$K$361,0)</f>
        <v>132</v>
      </c>
      <c r="K155" s="109">
        <f>SUM(L155:W155)</f>
        <v>47.400000000000006</v>
      </c>
      <c r="L155" s="109"/>
      <c r="M155" s="109" t="str">
        <f>IFERROR(VLOOKUP(Open[[#This Row],[TS SH O 23.04.22 Rang]],$AJ$16:$AK$111,2,0)*M$5," ")</f>
        <v xml:space="preserve"> </v>
      </c>
      <c r="N155" s="109">
        <f>IFERROR(VLOOKUP(Open[[#This Row],[TS LA O 08.05.22 Rang]],$AJ$16:$AK$111,2,0)*N$5," ")</f>
        <v>47.400000000000006</v>
      </c>
      <c r="O155" s="109" t="str">
        <f>IFERROR(VLOOKUP(Open[[#This Row],[TS SG O 25.05.22 Rang]],$AJ$16:$AK$111,2,0)*O$5," ")</f>
        <v xml:space="preserve"> </v>
      </c>
      <c r="P155" s="109" t="str">
        <f>IFERROR(VLOOKUP(Open[[#This Row],[TS SH O 25.06.22 Rang]],$AJ$16:$AK$111,2,0)*P$5," ")</f>
        <v xml:space="preserve"> </v>
      </c>
      <c r="Q155" s="109" t="str">
        <f>IFERROR(VLOOKUP(Open[[#This Row],[TS ZH O/A 25.06.22 Rang]],$AJ$16:$AK$111,2,0)*Q$5," ")</f>
        <v xml:space="preserve"> </v>
      </c>
      <c r="R155" s="109" t="str">
        <f>IFERROR(VLOOKUP(Open[[#This Row],[TS ZH O/B 25.06.22 Rang]],$AJ$16:$AK$111,2,0)*R$5," ")</f>
        <v xml:space="preserve"> </v>
      </c>
      <c r="S155" s="109" t="str">
        <f>IFERROR(VLOOKUP(Open[[#This Row],[SM BE O/A 09.07.22 Rang]],$AJ$16:$AK$111,2,0)*S$5," ")</f>
        <v xml:space="preserve"> </v>
      </c>
      <c r="T155" s="109" t="str">
        <f>IFERROR(VLOOKUP(Open[[#This Row],[SM BE O/B 09.07.22 Rang]],$AJ$16:$AK$111,2,0)*T$5," ")</f>
        <v xml:space="preserve"> </v>
      </c>
      <c r="U155" s="11">
        <v>0</v>
      </c>
      <c r="V155" s="11">
        <v>0</v>
      </c>
      <c r="W155" s="11">
        <v>0</v>
      </c>
      <c r="X155" s="129"/>
      <c r="Y155" s="191"/>
      <c r="Z155" s="191">
        <v>28</v>
      </c>
      <c r="AA155" s="191"/>
      <c r="AB155" s="191"/>
      <c r="AC155" s="191"/>
      <c r="AD155" s="191"/>
      <c r="AE155" s="191"/>
      <c r="AF155" s="191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BB155" s="4"/>
      <c r="BC155" s="4"/>
      <c r="BD155" s="4"/>
      <c r="BE155" s="4"/>
      <c r="BF155" s="4"/>
      <c r="BG155" s="4"/>
      <c r="BH155" s="4"/>
      <c r="BI155" s="4"/>
    </row>
    <row r="156" spans="1:61" x14ac:dyDescent="0.2">
      <c r="A156" s="11">
        <v>119</v>
      </c>
      <c r="B156" s="11">
        <f>IF(Open[[#This Row],[PR Rang beim letzten Turnier]]&gt;Open[[#This Row],[PR Rang]],1,IF(Open[[#This Row],[PR Rang beim letzten Turnier]]=Open[[#This Row],[PR Rang]],0,-1))</f>
        <v>-1</v>
      </c>
      <c r="C156" s="147">
        <f>RANK(Open[[#This Row],[PR Punkte]],Open[PR Punkte],0)</f>
        <v>132</v>
      </c>
      <c r="D156" s="9" t="s">
        <v>519</v>
      </c>
      <c r="E156" s="9" t="s">
        <v>11</v>
      </c>
      <c r="F156" s="109">
        <f>SUM(Open[[#This Row],[PR 1]:[PR 3]])</f>
        <v>47.400000000000006</v>
      </c>
      <c r="G156" s="109">
        <f>LARGE(Open[[#This Row],[TS SH O 22.02.22]:[PR3]],1)</f>
        <v>47.400000000000006</v>
      </c>
      <c r="H156" s="109">
        <f>LARGE(Open[[#This Row],[TS SH O 22.02.22]:[PR3]],2)</f>
        <v>0</v>
      </c>
      <c r="I156" s="109">
        <f>LARGE(Open[[#This Row],[TS SH O 22.02.22]:[PR3]],3)</f>
        <v>0</v>
      </c>
      <c r="J156" s="9">
        <f>RANK(K156,$K$7:$K$361,0)</f>
        <v>132</v>
      </c>
      <c r="K156" s="109">
        <f>SUM(L156:W156)</f>
        <v>47.400000000000006</v>
      </c>
      <c r="L156" s="109"/>
      <c r="M156" s="109" t="str">
        <f>IFERROR(VLOOKUP(Open[[#This Row],[TS SH O 23.04.22 Rang]],$AJ$16:$AK$111,2,0)*M$5," ")</f>
        <v xml:space="preserve"> </v>
      </c>
      <c r="N156" s="109">
        <f>IFERROR(VLOOKUP(Open[[#This Row],[TS LA O 08.05.22 Rang]],$AJ$16:$AK$111,2,0)*N$5," ")</f>
        <v>47.400000000000006</v>
      </c>
      <c r="O156" s="109" t="str">
        <f>IFERROR(VLOOKUP(Open[[#This Row],[TS SG O 25.05.22 Rang]],$AJ$16:$AK$111,2,0)*O$5," ")</f>
        <v xml:space="preserve"> </v>
      </c>
      <c r="P156" s="109" t="str">
        <f>IFERROR(VLOOKUP(Open[[#This Row],[TS SH O 25.06.22 Rang]],$AJ$16:$AK$111,2,0)*P$5," ")</f>
        <v xml:space="preserve"> </v>
      </c>
      <c r="Q156" s="109" t="str">
        <f>IFERROR(VLOOKUP(Open[[#This Row],[TS ZH O/A 25.06.22 Rang]],$AJ$16:$AK$111,2,0)*Q$5," ")</f>
        <v xml:space="preserve"> </v>
      </c>
      <c r="R156" s="109" t="str">
        <f>IFERROR(VLOOKUP(Open[[#This Row],[TS ZH O/B 25.06.22 Rang]],$AJ$16:$AK$111,2,0)*R$5," ")</f>
        <v xml:space="preserve"> </v>
      </c>
      <c r="S156" s="109" t="str">
        <f>IFERROR(VLOOKUP(Open[[#This Row],[SM BE O/A 09.07.22 Rang]],$AJ$16:$AK$111,2,0)*S$5," ")</f>
        <v xml:space="preserve"> </v>
      </c>
      <c r="T156" s="109" t="str">
        <f>IFERROR(VLOOKUP(Open[[#This Row],[SM BE O/B 09.07.22 Rang]],$AJ$16:$AK$111,2,0)*T$5," ")</f>
        <v xml:space="preserve"> </v>
      </c>
      <c r="U156" s="11">
        <v>0</v>
      </c>
      <c r="V156" s="11">
        <v>0</v>
      </c>
      <c r="W156" s="11">
        <v>0</v>
      </c>
      <c r="X156" s="129"/>
      <c r="Y156" s="191"/>
      <c r="Z156" s="191">
        <v>28</v>
      </c>
      <c r="AA156" s="191"/>
      <c r="AB156" s="191"/>
      <c r="AC156" s="191"/>
      <c r="AD156" s="191"/>
      <c r="AE156" s="191"/>
      <c r="AF156" s="191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BB156" s="4"/>
      <c r="BC156" s="4"/>
      <c r="BD156" s="4"/>
      <c r="BE156" s="4"/>
      <c r="BF156" s="4"/>
      <c r="BG156" s="4"/>
      <c r="BH156" s="4"/>
      <c r="BI156" s="4"/>
    </row>
    <row r="157" spans="1:61" x14ac:dyDescent="0.2">
      <c r="A157" s="11">
        <v>119</v>
      </c>
      <c r="B157" s="11">
        <f>IF(Open[[#This Row],[PR Rang beim letzten Turnier]]&gt;Open[[#This Row],[PR Rang]],1,IF(Open[[#This Row],[PR Rang beim letzten Turnier]]=Open[[#This Row],[PR Rang]],0,-1))</f>
        <v>-1</v>
      </c>
      <c r="C157" s="147">
        <f>RANK(Open[[#This Row],[PR Punkte]],Open[PR Punkte],0)</f>
        <v>132</v>
      </c>
      <c r="D157" s="9" t="s">
        <v>511</v>
      </c>
      <c r="E157" s="9" t="s">
        <v>11</v>
      </c>
      <c r="F157" s="109">
        <f>SUM(Open[[#This Row],[PR 1]:[PR 3]])</f>
        <v>47.400000000000006</v>
      </c>
      <c r="G157" s="109">
        <f>LARGE(Open[[#This Row],[TS SH O 22.02.22]:[PR3]],1)</f>
        <v>47.400000000000006</v>
      </c>
      <c r="H157" s="109">
        <f>LARGE(Open[[#This Row],[TS SH O 22.02.22]:[PR3]],2)</f>
        <v>0</v>
      </c>
      <c r="I157" s="109">
        <f>LARGE(Open[[#This Row],[TS SH O 22.02.22]:[PR3]],3)</f>
        <v>0</v>
      </c>
      <c r="J157" s="9">
        <f>RANK(K157,$K$7:$K$361,0)</f>
        <v>132</v>
      </c>
      <c r="K157" s="109">
        <f>SUM(L157:W157)</f>
        <v>47.400000000000006</v>
      </c>
      <c r="L157" s="109"/>
      <c r="M157" s="109" t="str">
        <f>IFERROR(VLOOKUP(Open[[#This Row],[TS SH O 23.04.22 Rang]],$AJ$16:$AK$111,2,0)*M$5," ")</f>
        <v xml:space="preserve"> </v>
      </c>
      <c r="N157" s="109">
        <f>IFERROR(VLOOKUP(Open[[#This Row],[TS LA O 08.05.22 Rang]],$AJ$16:$AK$111,2,0)*N$5," ")</f>
        <v>47.400000000000006</v>
      </c>
      <c r="O157" s="109" t="str">
        <f>IFERROR(VLOOKUP(Open[[#This Row],[TS SG O 25.05.22 Rang]],$AJ$16:$AK$111,2,0)*O$5," ")</f>
        <v xml:space="preserve"> </v>
      </c>
      <c r="P157" s="109" t="str">
        <f>IFERROR(VLOOKUP(Open[[#This Row],[TS SH O 25.06.22 Rang]],$AJ$16:$AK$111,2,0)*P$5," ")</f>
        <v xml:space="preserve"> </v>
      </c>
      <c r="Q157" s="109" t="str">
        <f>IFERROR(VLOOKUP(Open[[#This Row],[TS ZH O/A 25.06.22 Rang]],$AJ$16:$AK$111,2,0)*Q$5," ")</f>
        <v xml:space="preserve"> </v>
      </c>
      <c r="R157" s="109" t="str">
        <f>IFERROR(VLOOKUP(Open[[#This Row],[TS ZH O/B 25.06.22 Rang]],$AJ$16:$AK$111,2,0)*R$5," ")</f>
        <v xml:space="preserve"> </v>
      </c>
      <c r="S157" s="109" t="str">
        <f>IFERROR(VLOOKUP(Open[[#This Row],[SM BE O/A 09.07.22 Rang]],$AJ$16:$AK$111,2,0)*S$5," ")</f>
        <v xml:space="preserve"> </v>
      </c>
      <c r="T157" s="109" t="str">
        <f>IFERROR(VLOOKUP(Open[[#This Row],[SM BE O/B 09.07.22 Rang]],$AJ$16:$AK$111,2,0)*T$5," ")</f>
        <v xml:space="preserve"> </v>
      </c>
      <c r="U157" s="11">
        <v>0</v>
      </c>
      <c r="V157" s="11">
        <v>0</v>
      </c>
      <c r="W157" s="11">
        <v>0</v>
      </c>
      <c r="X157" s="129"/>
      <c r="Y157" s="191"/>
      <c r="Z157" s="191">
        <v>29</v>
      </c>
      <c r="AA157" s="191"/>
      <c r="AB157" s="191"/>
      <c r="AC157" s="191"/>
      <c r="AD157" s="191"/>
      <c r="AE157" s="191"/>
      <c r="AF157" s="191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BB157" s="4"/>
      <c r="BC157" s="4"/>
      <c r="BD157" s="4"/>
      <c r="BE157" s="4"/>
      <c r="BF157" s="4"/>
      <c r="BG157" s="4"/>
      <c r="BH157" s="4"/>
      <c r="BI157" s="4"/>
    </row>
    <row r="158" spans="1:61" x14ac:dyDescent="0.2">
      <c r="A158" s="11">
        <v>119</v>
      </c>
      <c r="B158" s="11">
        <f>IF(Open[[#This Row],[PR Rang beim letzten Turnier]]&gt;Open[[#This Row],[PR Rang]],1,IF(Open[[#This Row],[PR Rang beim letzten Turnier]]=Open[[#This Row],[PR Rang]],0,-1))</f>
        <v>-1</v>
      </c>
      <c r="C158" s="147">
        <f>RANK(Open[[#This Row],[PR Punkte]],Open[PR Punkte],0)</f>
        <v>132</v>
      </c>
      <c r="D158" s="9" t="s">
        <v>500</v>
      </c>
      <c r="E158" s="9" t="s">
        <v>11</v>
      </c>
      <c r="F158" s="109">
        <f>SUM(Open[[#This Row],[PR 1]:[PR 3]])</f>
        <v>47.400000000000006</v>
      </c>
      <c r="G158" s="109">
        <f>LARGE(Open[[#This Row],[TS SH O 22.02.22]:[PR3]],1)</f>
        <v>47.400000000000006</v>
      </c>
      <c r="H158" s="109">
        <f>LARGE(Open[[#This Row],[TS SH O 22.02.22]:[PR3]],2)</f>
        <v>0</v>
      </c>
      <c r="I158" s="109">
        <f>LARGE(Open[[#This Row],[TS SH O 22.02.22]:[PR3]],3)</f>
        <v>0</v>
      </c>
      <c r="J158" s="9">
        <f>RANK(K158,$K$7:$K$361,0)</f>
        <v>132</v>
      </c>
      <c r="K158" s="109">
        <f>SUM(L158:W158)</f>
        <v>47.400000000000006</v>
      </c>
      <c r="L158" s="109"/>
      <c r="M158" s="109" t="str">
        <f>IFERROR(VLOOKUP(Open[[#This Row],[TS SH O 23.04.22 Rang]],$AJ$16:$AK$111,2,0)*M$5," ")</f>
        <v xml:space="preserve"> </v>
      </c>
      <c r="N158" s="109">
        <f>IFERROR(VLOOKUP(Open[[#This Row],[TS LA O 08.05.22 Rang]],$AJ$16:$AK$111,2,0)*N$5," ")</f>
        <v>47.400000000000006</v>
      </c>
      <c r="O158" s="109" t="str">
        <f>IFERROR(VLOOKUP(Open[[#This Row],[TS SG O 25.05.22 Rang]],$AJ$16:$AK$111,2,0)*O$5," ")</f>
        <v xml:space="preserve"> </v>
      </c>
      <c r="P158" s="109" t="str">
        <f>IFERROR(VLOOKUP(Open[[#This Row],[TS SH O 25.06.22 Rang]],$AJ$16:$AK$111,2,0)*P$5," ")</f>
        <v xml:space="preserve"> </v>
      </c>
      <c r="Q158" s="109" t="str">
        <f>IFERROR(VLOOKUP(Open[[#This Row],[TS ZH O/A 25.06.22 Rang]],$AJ$16:$AK$111,2,0)*Q$5," ")</f>
        <v xml:space="preserve"> </v>
      </c>
      <c r="R158" s="109" t="str">
        <f>IFERROR(VLOOKUP(Open[[#This Row],[TS ZH O/B 25.06.22 Rang]],$AJ$16:$AK$111,2,0)*R$5," ")</f>
        <v xml:space="preserve"> </v>
      </c>
      <c r="S158" s="109" t="str">
        <f>IFERROR(VLOOKUP(Open[[#This Row],[SM BE O/A 09.07.22 Rang]],$AJ$16:$AK$111,2,0)*S$5," ")</f>
        <v xml:space="preserve"> </v>
      </c>
      <c r="T158" s="109" t="str">
        <f>IFERROR(VLOOKUP(Open[[#This Row],[SM BE O/B 09.07.22 Rang]],$AJ$16:$AK$111,2,0)*T$5," ")</f>
        <v xml:space="preserve"> </v>
      </c>
      <c r="U158" s="11">
        <v>0</v>
      </c>
      <c r="V158" s="11">
        <v>0</v>
      </c>
      <c r="W158" s="11">
        <v>0</v>
      </c>
      <c r="X158" s="129"/>
      <c r="Y158" s="191"/>
      <c r="Z158" s="191">
        <v>29</v>
      </c>
      <c r="AA158" s="191"/>
      <c r="AB158" s="191"/>
      <c r="AC158" s="191"/>
      <c r="AD158" s="191"/>
      <c r="AE158" s="191"/>
      <c r="AF158" s="191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BB158" s="4"/>
      <c r="BC158" s="4"/>
      <c r="BD158" s="4"/>
      <c r="BE158" s="4"/>
      <c r="BF158" s="4"/>
      <c r="BG158" s="4"/>
      <c r="BH158" s="4"/>
      <c r="BI158" s="4"/>
    </row>
    <row r="159" spans="1:61" x14ac:dyDescent="0.2">
      <c r="A159" s="11">
        <v>119</v>
      </c>
      <c r="B159" s="11">
        <f>IF(Open[[#This Row],[PR Rang beim letzten Turnier]]&gt;Open[[#This Row],[PR Rang]],1,IF(Open[[#This Row],[PR Rang beim letzten Turnier]]=Open[[#This Row],[PR Rang]],0,-1))</f>
        <v>-1</v>
      </c>
      <c r="C159" s="147">
        <f>RANK(Open[[#This Row],[PR Punkte]],Open[PR Punkte],0)</f>
        <v>132</v>
      </c>
      <c r="D159" s="9" t="s">
        <v>506</v>
      </c>
      <c r="E159" s="9" t="s">
        <v>11</v>
      </c>
      <c r="F159" s="109">
        <f>SUM(Open[[#This Row],[PR 1]:[PR 3]])</f>
        <v>47.400000000000006</v>
      </c>
      <c r="G159" s="109">
        <f>LARGE(Open[[#This Row],[TS SH O 22.02.22]:[PR3]],1)</f>
        <v>47.400000000000006</v>
      </c>
      <c r="H159" s="109">
        <f>LARGE(Open[[#This Row],[TS SH O 22.02.22]:[PR3]],2)</f>
        <v>0</v>
      </c>
      <c r="I159" s="109">
        <f>LARGE(Open[[#This Row],[TS SH O 22.02.22]:[PR3]],3)</f>
        <v>0</v>
      </c>
      <c r="J159" s="9">
        <f>RANK(K159,$K$7:$K$361,0)</f>
        <v>132</v>
      </c>
      <c r="K159" s="109">
        <f>SUM(L159:W159)</f>
        <v>47.400000000000006</v>
      </c>
      <c r="L159" s="109"/>
      <c r="M159" s="109" t="str">
        <f>IFERROR(VLOOKUP(Open[[#This Row],[TS SH O 23.04.22 Rang]],$AJ$16:$AK$111,2,0)*M$5," ")</f>
        <v xml:space="preserve"> </v>
      </c>
      <c r="N159" s="109">
        <f>IFERROR(VLOOKUP(Open[[#This Row],[TS LA O 08.05.22 Rang]],$AJ$16:$AK$111,2,0)*N$5," ")</f>
        <v>47.400000000000006</v>
      </c>
      <c r="O159" s="109" t="str">
        <f>IFERROR(VLOOKUP(Open[[#This Row],[TS SG O 25.05.22 Rang]],$AJ$16:$AK$111,2,0)*O$5," ")</f>
        <v xml:space="preserve"> </v>
      </c>
      <c r="P159" s="109" t="str">
        <f>IFERROR(VLOOKUP(Open[[#This Row],[TS SH O 25.06.22 Rang]],$AJ$16:$AK$111,2,0)*P$5," ")</f>
        <v xml:space="preserve"> </v>
      </c>
      <c r="Q159" s="109" t="str">
        <f>IFERROR(VLOOKUP(Open[[#This Row],[TS ZH O/A 25.06.22 Rang]],$AJ$16:$AK$111,2,0)*Q$5," ")</f>
        <v xml:space="preserve"> </v>
      </c>
      <c r="R159" s="109" t="str">
        <f>IFERROR(VLOOKUP(Open[[#This Row],[TS ZH O/B 25.06.22 Rang]],$AJ$16:$AK$111,2,0)*R$5," ")</f>
        <v xml:space="preserve"> </v>
      </c>
      <c r="S159" s="109" t="str">
        <f>IFERROR(VLOOKUP(Open[[#This Row],[SM BE O/A 09.07.22 Rang]],$AJ$16:$AK$111,2,0)*S$5," ")</f>
        <v xml:space="preserve"> </v>
      </c>
      <c r="T159" s="109" t="str">
        <f>IFERROR(VLOOKUP(Open[[#This Row],[SM BE O/B 09.07.22 Rang]],$AJ$16:$AK$111,2,0)*T$5," ")</f>
        <v xml:space="preserve"> </v>
      </c>
      <c r="U159" s="11">
        <v>0</v>
      </c>
      <c r="V159" s="11">
        <v>0</v>
      </c>
      <c r="W159" s="11">
        <v>0</v>
      </c>
      <c r="X159" s="129"/>
      <c r="Y159" s="191"/>
      <c r="Z159" s="191">
        <v>30</v>
      </c>
      <c r="AA159" s="191"/>
      <c r="AB159" s="191"/>
      <c r="AC159" s="191"/>
      <c r="AD159" s="191"/>
      <c r="AE159" s="191"/>
      <c r="AF159" s="191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BB159" s="4"/>
      <c r="BC159" s="4"/>
      <c r="BD159" s="4"/>
      <c r="BE159" s="4"/>
      <c r="BF159" s="4"/>
      <c r="BG159" s="4"/>
      <c r="BH159" s="4"/>
      <c r="BI159" s="4"/>
    </row>
    <row r="160" spans="1:61" x14ac:dyDescent="0.2">
      <c r="A160" s="11">
        <v>119</v>
      </c>
      <c r="B160" s="11">
        <f>IF(Open[[#This Row],[PR Rang beim letzten Turnier]]&gt;Open[[#This Row],[PR Rang]],1,IF(Open[[#This Row],[PR Rang beim letzten Turnier]]=Open[[#This Row],[PR Rang]],0,-1))</f>
        <v>-1</v>
      </c>
      <c r="C160" s="147">
        <f>RANK(Open[[#This Row],[PR Punkte]],Open[PR Punkte],0)</f>
        <v>132</v>
      </c>
      <c r="D160" s="9" t="s">
        <v>517</v>
      </c>
      <c r="E160" s="9" t="s">
        <v>10</v>
      </c>
      <c r="F160" s="109">
        <f>SUM(Open[[#This Row],[PR 1]:[PR 3]])</f>
        <v>47.400000000000006</v>
      </c>
      <c r="G160" s="109">
        <f>LARGE(Open[[#This Row],[TS SH O 22.02.22]:[PR3]],1)</f>
        <v>47.400000000000006</v>
      </c>
      <c r="H160" s="109">
        <f>LARGE(Open[[#This Row],[TS SH O 22.02.22]:[PR3]],2)</f>
        <v>0</v>
      </c>
      <c r="I160" s="109">
        <f>LARGE(Open[[#This Row],[TS SH O 22.02.22]:[PR3]],3)</f>
        <v>0</v>
      </c>
      <c r="J160" s="9">
        <f>RANK(K160,$K$7:$K$361,0)</f>
        <v>132</v>
      </c>
      <c r="K160" s="109">
        <f>SUM(L160:W160)</f>
        <v>47.400000000000006</v>
      </c>
      <c r="L160" s="109"/>
      <c r="M160" s="109" t="str">
        <f>IFERROR(VLOOKUP(Open[[#This Row],[TS SH O 23.04.22 Rang]],$AJ$16:$AK$111,2,0)*M$5," ")</f>
        <v xml:space="preserve"> </v>
      </c>
      <c r="N160" s="109">
        <f>IFERROR(VLOOKUP(Open[[#This Row],[TS LA O 08.05.22 Rang]],$AJ$16:$AK$111,2,0)*N$5," ")</f>
        <v>47.400000000000006</v>
      </c>
      <c r="O160" s="109" t="str">
        <f>IFERROR(VLOOKUP(Open[[#This Row],[TS SG O 25.05.22 Rang]],$AJ$16:$AK$111,2,0)*O$5," ")</f>
        <v xml:space="preserve"> </v>
      </c>
      <c r="P160" s="109" t="str">
        <f>IFERROR(VLOOKUP(Open[[#This Row],[TS SH O 25.06.22 Rang]],$AJ$16:$AK$111,2,0)*P$5," ")</f>
        <v xml:space="preserve"> </v>
      </c>
      <c r="Q160" s="109" t="str">
        <f>IFERROR(VLOOKUP(Open[[#This Row],[TS ZH O/A 25.06.22 Rang]],$AJ$16:$AK$111,2,0)*Q$5," ")</f>
        <v xml:space="preserve"> </v>
      </c>
      <c r="R160" s="109" t="str">
        <f>IFERROR(VLOOKUP(Open[[#This Row],[TS ZH O/B 25.06.22 Rang]],$AJ$16:$AK$111,2,0)*R$5," ")</f>
        <v xml:space="preserve"> </v>
      </c>
      <c r="S160" s="109" t="str">
        <f>IFERROR(VLOOKUP(Open[[#This Row],[SM BE O/A 09.07.22 Rang]],$AJ$16:$AK$111,2,0)*S$5," ")</f>
        <v xml:space="preserve"> </v>
      </c>
      <c r="T160" s="109" t="str">
        <f>IFERROR(VLOOKUP(Open[[#This Row],[SM BE O/B 09.07.22 Rang]],$AJ$16:$AK$111,2,0)*T$5," ")</f>
        <v xml:space="preserve"> </v>
      </c>
      <c r="U160" s="11">
        <v>0</v>
      </c>
      <c r="V160" s="11">
        <v>0</v>
      </c>
      <c r="W160" s="11">
        <v>0</v>
      </c>
      <c r="X160" s="129"/>
      <c r="Y160" s="191"/>
      <c r="Z160" s="191">
        <v>30</v>
      </c>
      <c r="AA160" s="191"/>
      <c r="AB160" s="191"/>
      <c r="AC160" s="191"/>
      <c r="AD160" s="191"/>
      <c r="AE160" s="191"/>
      <c r="AF160" s="191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BB160" s="4"/>
      <c r="BC160" s="4"/>
      <c r="BD160" s="4"/>
      <c r="BE160" s="4"/>
      <c r="BF160" s="4"/>
      <c r="BG160" s="4"/>
      <c r="BH160" s="4"/>
      <c r="BI160" s="4"/>
    </row>
    <row r="161" spans="1:61" x14ac:dyDescent="0.2">
      <c r="A161" s="11">
        <v>119</v>
      </c>
      <c r="B161" s="11">
        <f>IF(Open[[#This Row],[PR Rang beim letzten Turnier]]&gt;Open[[#This Row],[PR Rang]],1,IF(Open[[#This Row],[PR Rang beim letzten Turnier]]=Open[[#This Row],[PR Rang]],0,-1))</f>
        <v>-1</v>
      </c>
      <c r="C161" s="147">
        <f>RANK(Open[[#This Row],[PR Punkte]],Open[PR Punkte],0)</f>
        <v>132</v>
      </c>
      <c r="D161" s="9" t="s">
        <v>504</v>
      </c>
      <c r="E161" s="9" t="s">
        <v>11</v>
      </c>
      <c r="F161" s="109">
        <f>SUM(Open[[#This Row],[PR 1]:[PR 3]])</f>
        <v>47.400000000000006</v>
      </c>
      <c r="G161" s="109">
        <f>LARGE(Open[[#This Row],[TS SH O 22.02.22]:[PR3]],1)</f>
        <v>47.400000000000006</v>
      </c>
      <c r="H161" s="109">
        <f>LARGE(Open[[#This Row],[TS SH O 22.02.22]:[PR3]],2)</f>
        <v>0</v>
      </c>
      <c r="I161" s="109">
        <f>LARGE(Open[[#This Row],[TS SH O 22.02.22]:[PR3]],3)</f>
        <v>0</v>
      </c>
      <c r="J161" s="9">
        <f>RANK(K161,$K$7:$K$361,0)</f>
        <v>132</v>
      </c>
      <c r="K161" s="109">
        <f>SUM(L161:W161)</f>
        <v>47.400000000000006</v>
      </c>
      <c r="L161" s="109"/>
      <c r="M161" s="109" t="str">
        <f>IFERROR(VLOOKUP(Open[[#This Row],[TS SH O 23.04.22 Rang]],$AJ$16:$AK$111,2,0)*M$5," ")</f>
        <v xml:space="preserve"> </v>
      </c>
      <c r="N161" s="109">
        <f>IFERROR(VLOOKUP(Open[[#This Row],[TS LA O 08.05.22 Rang]],$AJ$16:$AK$111,2,0)*N$5," ")</f>
        <v>47.400000000000006</v>
      </c>
      <c r="O161" s="109" t="str">
        <f>IFERROR(VLOOKUP(Open[[#This Row],[TS SG O 25.05.22 Rang]],$AJ$16:$AK$111,2,0)*O$5," ")</f>
        <v xml:space="preserve"> </v>
      </c>
      <c r="P161" s="109" t="str">
        <f>IFERROR(VLOOKUP(Open[[#This Row],[TS SH O 25.06.22 Rang]],$AJ$16:$AK$111,2,0)*P$5," ")</f>
        <v xml:space="preserve"> </v>
      </c>
      <c r="Q161" s="109" t="str">
        <f>IFERROR(VLOOKUP(Open[[#This Row],[TS ZH O/A 25.06.22 Rang]],$AJ$16:$AK$111,2,0)*Q$5," ")</f>
        <v xml:space="preserve"> </v>
      </c>
      <c r="R161" s="109" t="str">
        <f>IFERROR(VLOOKUP(Open[[#This Row],[TS ZH O/B 25.06.22 Rang]],$AJ$16:$AK$111,2,0)*R$5," ")</f>
        <v xml:space="preserve"> </v>
      </c>
      <c r="S161" s="109" t="str">
        <f>IFERROR(VLOOKUP(Open[[#This Row],[SM BE O/A 09.07.22 Rang]],$AJ$16:$AK$111,2,0)*S$5," ")</f>
        <v xml:space="preserve"> </v>
      </c>
      <c r="T161" s="109" t="str">
        <f>IFERROR(VLOOKUP(Open[[#This Row],[SM BE O/B 09.07.22 Rang]],$AJ$16:$AK$111,2,0)*T$5," ")</f>
        <v xml:space="preserve"> </v>
      </c>
      <c r="U161" s="11">
        <v>0</v>
      </c>
      <c r="V161" s="11">
        <v>0</v>
      </c>
      <c r="W161" s="11">
        <v>0</v>
      </c>
      <c r="X161" s="129"/>
      <c r="Y161" s="191"/>
      <c r="Z161" s="191">
        <v>31</v>
      </c>
      <c r="AA161" s="191"/>
      <c r="AB161" s="191"/>
      <c r="AC161" s="191"/>
      <c r="AD161" s="191"/>
      <c r="AE161" s="191"/>
      <c r="AF161" s="191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BB161" s="4"/>
      <c r="BC161" s="4"/>
      <c r="BD161" s="4"/>
      <c r="BE161" s="4"/>
      <c r="BF161" s="4"/>
      <c r="BG161" s="4"/>
      <c r="BH161" s="4"/>
      <c r="BI161" s="4"/>
    </row>
    <row r="162" spans="1:61" x14ac:dyDescent="0.2">
      <c r="A162" s="11">
        <v>119</v>
      </c>
      <c r="B162" s="11">
        <f>IF(Open[[#This Row],[PR Rang beim letzten Turnier]]&gt;Open[[#This Row],[PR Rang]],1,IF(Open[[#This Row],[PR Rang beim letzten Turnier]]=Open[[#This Row],[PR Rang]],0,-1))</f>
        <v>-1</v>
      </c>
      <c r="C162" s="147">
        <f>RANK(Open[[#This Row],[PR Punkte]],Open[PR Punkte],0)</f>
        <v>132</v>
      </c>
      <c r="D162" s="9" t="s">
        <v>515</v>
      </c>
      <c r="E162" s="9" t="s">
        <v>11</v>
      </c>
      <c r="F162" s="109">
        <f>SUM(Open[[#This Row],[PR 1]:[PR 3]])</f>
        <v>47.400000000000006</v>
      </c>
      <c r="G162" s="109">
        <f>LARGE(Open[[#This Row],[TS SH O 22.02.22]:[PR3]],1)</f>
        <v>47.400000000000006</v>
      </c>
      <c r="H162" s="109">
        <f>LARGE(Open[[#This Row],[TS SH O 22.02.22]:[PR3]],2)</f>
        <v>0</v>
      </c>
      <c r="I162" s="109">
        <f>LARGE(Open[[#This Row],[TS SH O 22.02.22]:[PR3]],3)</f>
        <v>0</v>
      </c>
      <c r="J162" s="9">
        <f>RANK(K162,$K$7:$K$361,0)</f>
        <v>132</v>
      </c>
      <c r="K162" s="109">
        <f>SUM(L162:W162)</f>
        <v>47.400000000000006</v>
      </c>
      <c r="L162" s="109"/>
      <c r="M162" s="109" t="str">
        <f>IFERROR(VLOOKUP(Open[[#This Row],[TS SH O 23.04.22 Rang]],$AJ$16:$AK$111,2,0)*M$5," ")</f>
        <v xml:space="preserve"> </v>
      </c>
      <c r="N162" s="109">
        <f>IFERROR(VLOOKUP(Open[[#This Row],[TS LA O 08.05.22 Rang]],$AJ$16:$AK$111,2,0)*N$5," ")</f>
        <v>47.400000000000006</v>
      </c>
      <c r="O162" s="109" t="str">
        <f>IFERROR(VLOOKUP(Open[[#This Row],[TS SG O 25.05.22 Rang]],$AJ$16:$AK$111,2,0)*O$5," ")</f>
        <v xml:space="preserve"> </v>
      </c>
      <c r="P162" s="109" t="str">
        <f>IFERROR(VLOOKUP(Open[[#This Row],[TS SH O 25.06.22 Rang]],$AJ$16:$AK$111,2,0)*P$5," ")</f>
        <v xml:space="preserve"> </v>
      </c>
      <c r="Q162" s="109" t="str">
        <f>IFERROR(VLOOKUP(Open[[#This Row],[TS ZH O/A 25.06.22 Rang]],$AJ$16:$AK$111,2,0)*Q$5," ")</f>
        <v xml:space="preserve"> </v>
      </c>
      <c r="R162" s="109" t="str">
        <f>IFERROR(VLOOKUP(Open[[#This Row],[TS ZH O/B 25.06.22 Rang]],$AJ$16:$AK$111,2,0)*R$5," ")</f>
        <v xml:space="preserve"> </v>
      </c>
      <c r="S162" s="109" t="str">
        <f>IFERROR(VLOOKUP(Open[[#This Row],[SM BE O/A 09.07.22 Rang]],$AJ$16:$AK$111,2,0)*S$5," ")</f>
        <v xml:space="preserve"> </v>
      </c>
      <c r="T162" s="109" t="str">
        <f>IFERROR(VLOOKUP(Open[[#This Row],[SM BE O/B 09.07.22 Rang]],$AJ$16:$AK$111,2,0)*T$5," ")</f>
        <v xml:space="preserve"> </v>
      </c>
      <c r="U162" s="11">
        <v>0</v>
      </c>
      <c r="V162" s="11">
        <v>0</v>
      </c>
      <c r="W162" s="11">
        <v>0</v>
      </c>
      <c r="X162" s="129"/>
      <c r="Y162" s="191"/>
      <c r="Z162" s="191">
        <v>31</v>
      </c>
      <c r="AA162" s="191"/>
      <c r="AB162" s="191"/>
      <c r="AC162" s="191"/>
      <c r="AD162" s="191"/>
      <c r="AE162" s="191"/>
      <c r="AF162" s="191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BB162" s="4"/>
      <c r="BC162" s="4"/>
      <c r="BD162" s="4"/>
      <c r="BE162" s="4"/>
      <c r="BF162" s="4"/>
      <c r="BG162" s="4"/>
      <c r="BH162" s="4"/>
      <c r="BI162" s="4"/>
    </row>
    <row r="163" spans="1:61" x14ac:dyDescent="0.2">
      <c r="A163" s="11">
        <v>144</v>
      </c>
      <c r="B163" s="11">
        <f>IF(Open[[#This Row],[PR Rang beim letzten Turnier]]&gt;Open[[#This Row],[PR Rang]],1,IF(Open[[#This Row],[PR Rang beim letzten Turnier]]=Open[[#This Row],[PR Rang]],0,-1))</f>
        <v>-1</v>
      </c>
      <c r="C163" s="147">
        <f>RANK(Open[[#This Row],[PR Punkte]],Open[PR Punkte],0)</f>
        <v>157</v>
      </c>
      <c r="D163" s="9" t="s">
        <v>196</v>
      </c>
      <c r="E163" s="9" t="s">
        <v>8</v>
      </c>
      <c r="F163" s="109">
        <f>SUM(Open[[#This Row],[PR 1]:[PR 3]])</f>
        <v>46.2</v>
      </c>
      <c r="G163" s="109">
        <f>LARGE(Open[[#This Row],[TS SH O 22.02.22]:[PR3]],1)</f>
        <v>46.2</v>
      </c>
      <c r="H163" s="109">
        <f>LARGE(Open[[#This Row],[TS SH O 22.02.22]:[PR3]],2)</f>
        <v>0</v>
      </c>
      <c r="I163" s="109">
        <f>LARGE(Open[[#This Row],[TS SH O 22.02.22]:[PR3]],3)</f>
        <v>0</v>
      </c>
      <c r="J163" s="9">
        <f>RANK(K163,$K$7:$K$295,0)</f>
        <v>157</v>
      </c>
      <c r="K163" s="109">
        <f>SUM(L163:W163)</f>
        <v>46.2</v>
      </c>
      <c r="L163" s="109" t="str">
        <f>IFERROR(VLOOKUP(Open[[#This Row],[TS SH 22.02.22 Rang]],$AJ$16:$AK$111,2,0)*L$5," ")</f>
        <v xml:space="preserve"> </v>
      </c>
      <c r="M163" s="109">
        <f>IFERROR(VLOOKUP(Open[[#This Row],[TS SH O 23.04.22 Rang]],$AJ$16:$AK$111,2,0)*M$5," ")</f>
        <v>46.2</v>
      </c>
      <c r="N163" s="109" t="str">
        <f>IFERROR(VLOOKUP(Open[[#This Row],[TS LA O 08.05.22 Rang]],$AJ$16:$AK$111,2,0)*N$5," ")</f>
        <v xml:space="preserve"> </v>
      </c>
      <c r="O163" s="109" t="str">
        <f>IFERROR(VLOOKUP(Open[[#This Row],[TS SG O 25.05.22 Rang]],$AJ$16:$AK$111,2,0)*O$5," ")</f>
        <v xml:space="preserve"> </v>
      </c>
      <c r="P163" s="109" t="str">
        <f>IFERROR(VLOOKUP(Open[[#This Row],[TS SH O 25.06.22 Rang]],$AJ$16:$AK$111,2,0)*P$5," ")</f>
        <v xml:space="preserve"> </v>
      </c>
      <c r="Q163" s="109" t="str">
        <f>IFERROR(VLOOKUP(Open[[#This Row],[TS ZH O/A 25.06.22 Rang]],$AJ$16:$AK$111,2,0)*Q$5," ")</f>
        <v xml:space="preserve"> </v>
      </c>
      <c r="R163" s="109" t="str">
        <f>IFERROR(VLOOKUP(Open[[#This Row],[TS ZH O/B 25.06.22 Rang]],$AJ$16:$AK$111,2,0)*R$5," ")</f>
        <v xml:space="preserve"> </v>
      </c>
      <c r="S163" s="109" t="str">
        <f>IFERROR(VLOOKUP(Open[[#This Row],[SM BE O/A 09.07.22 Rang]],$AJ$16:$AK$111,2,0)*S$5," ")</f>
        <v xml:space="preserve"> </v>
      </c>
      <c r="T163" s="109" t="str">
        <f>IFERROR(VLOOKUP(Open[[#This Row],[SM BE O/B 09.07.22 Rang]],$AJ$16:$AK$111,2,0)*T$5," ")</f>
        <v xml:space="preserve"> </v>
      </c>
      <c r="U163" s="11">
        <v>0</v>
      </c>
      <c r="V163" s="11">
        <v>0</v>
      </c>
      <c r="W163" s="11">
        <v>0</v>
      </c>
      <c r="X163" s="129"/>
      <c r="Y163" s="191">
        <v>26</v>
      </c>
      <c r="Z163" s="191"/>
      <c r="AA163" s="191"/>
      <c r="AB163" s="191"/>
      <c r="AC163" s="191"/>
      <c r="AD163" s="191"/>
      <c r="AE163" s="191"/>
      <c r="AF163" s="191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BB163" s="4"/>
      <c r="BC163" s="4"/>
      <c r="BD163" s="4"/>
      <c r="BE163" s="4"/>
      <c r="BF163" s="4"/>
      <c r="BG163" s="4"/>
      <c r="BH163" s="4"/>
      <c r="BI163" s="4"/>
    </row>
    <row r="164" spans="1:61" x14ac:dyDescent="0.2">
      <c r="A164" s="11">
        <v>144</v>
      </c>
      <c r="B164" s="11">
        <f>IF(Open[[#This Row],[PR Rang beim letzten Turnier]]&gt;Open[[#This Row],[PR Rang]],1,IF(Open[[#This Row],[PR Rang beim letzten Turnier]]=Open[[#This Row],[PR Rang]],0,-1))</f>
        <v>-1</v>
      </c>
      <c r="C164" s="147">
        <f>RANK(Open[[#This Row],[PR Punkte]],Open[PR Punkte],0)</f>
        <v>157</v>
      </c>
      <c r="D164" s="9" t="s">
        <v>151</v>
      </c>
      <c r="E164" s="9" t="s">
        <v>10</v>
      </c>
      <c r="F164" s="109">
        <f>SUM(Open[[#This Row],[PR 1]:[PR 3]])</f>
        <v>46.2</v>
      </c>
      <c r="G164" s="109">
        <f>LARGE(Open[[#This Row],[TS SH O 22.02.22]:[PR3]],1)</f>
        <v>46.2</v>
      </c>
      <c r="H164" s="109">
        <f>LARGE(Open[[#This Row],[TS SH O 22.02.22]:[PR3]],2)</f>
        <v>0</v>
      </c>
      <c r="I164" s="109">
        <f>LARGE(Open[[#This Row],[TS SH O 22.02.22]:[PR3]],3)</f>
        <v>0</v>
      </c>
      <c r="J164" s="9">
        <f>RANK(K164,$K$7:$K$295,0)</f>
        <v>157</v>
      </c>
      <c r="K164" s="109">
        <f>SUM(L164:W164)</f>
        <v>46.2</v>
      </c>
      <c r="L164" s="109" t="str">
        <f>IFERROR(VLOOKUP(Open[[#This Row],[TS SH 22.02.22 Rang]],$AJ$16:$AK$111,2,0)*L$5," ")</f>
        <v xml:space="preserve"> </v>
      </c>
      <c r="M164" s="109">
        <f>IFERROR(VLOOKUP(Open[[#This Row],[TS SH O 23.04.22 Rang]],$AJ$16:$AK$111,2,0)*M$5," ")</f>
        <v>46.2</v>
      </c>
      <c r="N164" s="109" t="str">
        <f>IFERROR(VLOOKUP(Open[[#This Row],[TS LA O 08.05.22 Rang]],$AJ$16:$AK$111,2,0)*N$5," ")</f>
        <v xml:space="preserve"> </v>
      </c>
      <c r="O164" s="109" t="str">
        <f>IFERROR(VLOOKUP(Open[[#This Row],[TS SG O 25.05.22 Rang]],$AJ$16:$AK$111,2,0)*O$5," ")</f>
        <v xml:space="preserve"> </v>
      </c>
      <c r="P164" s="109" t="str">
        <f>IFERROR(VLOOKUP(Open[[#This Row],[TS SH O 25.06.22 Rang]],$AJ$16:$AK$111,2,0)*P$5," ")</f>
        <v xml:space="preserve"> </v>
      </c>
      <c r="Q164" s="109" t="str">
        <f>IFERROR(VLOOKUP(Open[[#This Row],[TS ZH O/A 25.06.22 Rang]],$AJ$16:$AK$111,2,0)*Q$5," ")</f>
        <v xml:space="preserve"> </v>
      </c>
      <c r="R164" s="109" t="str">
        <f>IFERROR(VLOOKUP(Open[[#This Row],[TS ZH O/B 25.06.22 Rang]],$AJ$16:$AK$111,2,0)*R$5," ")</f>
        <v xml:space="preserve"> </v>
      </c>
      <c r="S164" s="109" t="str">
        <f>IFERROR(VLOOKUP(Open[[#This Row],[SM BE O/A 09.07.22 Rang]],$AJ$16:$AK$111,2,0)*S$5," ")</f>
        <v xml:space="preserve"> </v>
      </c>
      <c r="T164" s="109" t="str">
        <f>IFERROR(VLOOKUP(Open[[#This Row],[SM BE O/B 09.07.22 Rang]],$AJ$16:$AK$111,2,0)*T$5," ")</f>
        <v xml:space="preserve"> </v>
      </c>
      <c r="U164" s="11">
        <v>0</v>
      </c>
      <c r="V164" s="11">
        <v>0</v>
      </c>
      <c r="W164" s="11">
        <v>0</v>
      </c>
      <c r="X164" s="129"/>
      <c r="Y164" s="191">
        <v>27</v>
      </c>
      <c r="Z164" s="191"/>
      <c r="AA164" s="191"/>
      <c r="AB164" s="191"/>
      <c r="AC164" s="191"/>
      <c r="AD164" s="191"/>
      <c r="AE164" s="191"/>
      <c r="AF164" s="191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BB164" s="4"/>
      <c r="BC164" s="4"/>
      <c r="BD164" s="4"/>
      <c r="BE164" s="4"/>
      <c r="BF164" s="4"/>
      <c r="BG164" s="4"/>
      <c r="BH164" s="4"/>
      <c r="BI164" s="4"/>
    </row>
    <row r="165" spans="1:61" x14ac:dyDescent="0.2">
      <c r="A165" s="11">
        <v>144</v>
      </c>
      <c r="B165" s="11">
        <f>IF(Open[[#This Row],[PR Rang beim letzten Turnier]]&gt;Open[[#This Row],[PR Rang]],1,IF(Open[[#This Row],[PR Rang beim letzten Turnier]]=Open[[#This Row],[PR Rang]],0,-1))</f>
        <v>-1</v>
      </c>
      <c r="C165" s="147">
        <f>RANK(Open[[#This Row],[PR Punkte]],Open[PR Punkte],0)</f>
        <v>157</v>
      </c>
      <c r="D165" s="9" t="s">
        <v>152</v>
      </c>
      <c r="E165" s="11" t="s">
        <v>10</v>
      </c>
      <c r="F165" s="109">
        <f>SUM(Open[[#This Row],[PR 1]:[PR 3]])</f>
        <v>46.2</v>
      </c>
      <c r="G165" s="109">
        <f>LARGE(Open[[#This Row],[TS SH O 22.02.22]:[PR3]],1)</f>
        <v>46.2</v>
      </c>
      <c r="H165" s="109">
        <f>LARGE(Open[[#This Row],[TS SH O 22.02.22]:[PR3]],2)</f>
        <v>0</v>
      </c>
      <c r="I165" s="109">
        <f>LARGE(Open[[#This Row],[TS SH O 22.02.22]:[PR3]],3)</f>
        <v>0</v>
      </c>
      <c r="J165" s="11">
        <f>RANK(K165,$K$7:$K$295,0)</f>
        <v>157</v>
      </c>
      <c r="K165" s="109">
        <f>SUM(L165:W165)</f>
        <v>46.2</v>
      </c>
      <c r="L165" s="109" t="str">
        <f>IFERROR(VLOOKUP(Open[[#This Row],[TS SH 22.02.22 Rang]],$AJ$16:$AK$111,2,0)*L$5," ")</f>
        <v xml:space="preserve"> </v>
      </c>
      <c r="M165" s="109">
        <f>IFERROR(VLOOKUP(Open[[#This Row],[TS SH O 23.04.22 Rang]],$AJ$16:$AK$111,2,0)*M$5," ")</f>
        <v>46.2</v>
      </c>
      <c r="N165" s="109" t="str">
        <f>IFERROR(VLOOKUP(Open[[#This Row],[TS LA O 08.05.22 Rang]],$AJ$16:$AK$111,2,0)*N$5," ")</f>
        <v xml:space="preserve"> </v>
      </c>
      <c r="O165" s="109" t="str">
        <f>IFERROR(VLOOKUP(Open[[#This Row],[TS SG O 25.05.22 Rang]],$AJ$16:$AK$111,2,0)*O$5," ")</f>
        <v xml:space="preserve"> </v>
      </c>
      <c r="P165" s="109" t="str">
        <f>IFERROR(VLOOKUP(Open[[#This Row],[TS SH O 25.06.22 Rang]],$AJ$16:$AK$111,2,0)*P$5," ")</f>
        <v xml:space="preserve"> </v>
      </c>
      <c r="Q165" s="109" t="str">
        <f>IFERROR(VLOOKUP(Open[[#This Row],[TS ZH O/A 25.06.22 Rang]],$AJ$16:$AK$111,2,0)*Q$5," ")</f>
        <v xml:space="preserve"> </v>
      </c>
      <c r="R165" s="109" t="str">
        <f>IFERROR(VLOOKUP(Open[[#This Row],[TS ZH O/B 25.06.22 Rang]],$AJ$16:$AK$111,2,0)*R$5," ")</f>
        <v xml:space="preserve"> </v>
      </c>
      <c r="S165" s="109" t="str">
        <f>IFERROR(VLOOKUP(Open[[#This Row],[SM BE O/A 09.07.22 Rang]],$AJ$16:$AK$111,2,0)*S$5," ")</f>
        <v xml:space="preserve"> </v>
      </c>
      <c r="T165" s="109" t="str">
        <f>IFERROR(VLOOKUP(Open[[#This Row],[SM BE O/B 09.07.22 Rang]],$AJ$16:$AK$111,2,0)*T$5," ")</f>
        <v xml:space="preserve"> </v>
      </c>
      <c r="U165" s="11">
        <v>0</v>
      </c>
      <c r="V165" s="11">
        <v>0</v>
      </c>
      <c r="W165" s="11">
        <v>0</v>
      </c>
      <c r="X165" s="129"/>
      <c r="Y165" s="191">
        <v>22</v>
      </c>
      <c r="Z165" s="191"/>
      <c r="AA165" s="191"/>
      <c r="AB165" s="191"/>
      <c r="AC165" s="191"/>
      <c r="AD165" s="191"/>
      <c r="AE165" s="191"/>
      <c r="AF165" s="191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BB165" s="4"/>
      <c r="BC165" s="4"/>
      <c r="BD165" s="4"/>
      <c r="BE165" s="4"/>
      <c r="BF165" s="4"/>
      <c r="BG165" s="4"/>
      <c r="BH165" s="4"/>
      <c r="BI165" s="4"/>
    </row>
    <row r="166" spans="1:61" x14ac:dyDescent="0.2">
      <c r="A166" s="11">
        <v>144</v>
      </c>
      <c r="B166" s="11">
        <f>IF(Open[[#This Row],[PR Rang beim letzten Turnier]]&gt;Open[[#This Row],[PR Rang]],1,IF(Open[[#This Row],[PR Rang beim letzten Turnier]]=Open[[#This Row],[PR Rang]],0,-1))</f>
        <v>-1</v>
      </c>
      <c r="C166" s="147">
        <f>RANK(Open[[#This Row],[PR Punkte]],Open[PR Punkte],0)</f>
        <v>157</v>
      </c>
      <c r="D166" s="9" t="s">
        <v>487</v>
      </c>
      <c r="E166" s="9" t="s">
        <v>488</v>
      </c>
      <c r="F166" s="109">
        <f>SUM(Open[[#This Row],[PR 1]:[PR 3]])</f>
        <v>46.2</v>
      </c>
      <c r="G166" s="109">
        <f>LARGE(Open[[#This Row],[TS SH O 22.02.22]:[PR3]],1)</f>
        <v>46.2</v>
      </c>
      <c r="H166" s="109">
        <f>LARGE(Open[[#This Row],[TS SH O 22.02.22]:[PR3]],2)</f>
        <v>0</v>
      </c>
      <c r="I166" s="109">
        <f>LARGE(Open[[#This Row],[TS SH O 22.02.22]:[PR3]],3)</f>
        <v>0</v>
      </c>
      <c r="J166" s="9">
        <f>RANK(K166,$K$7:$K$361,0)</f>
        <v>157</v>
      </c>
      <c r="K166" s="109">
        <f>SUM(L166:W166)</f>
        <v>46.2</v>
      </c>
      <c r="L166" s="109"/>
      <c r="M166" s="109">
        <f>IFERROR(VLOOKUP(Open[[#This Row],[TS SH O 23.04.22 Rang]],$AJ$16:$AK$111,2,0)*M$5," ")</f>
        <v>46.2</v>
      </c>
      <c r="N166" s="109" t="str">
        <f>IFERROR(VLOOKUP(Open[[#This Row],[TS LA O 08.05.22 Rang]],$AJ$16:$AK$111,2,0)*N$5," ")</f>
        <v xml:space="preserve"> </v>
      </c>
      <c r="O166" s="109" t="str">
        <f>IFERROR(VLOOKUP(Open[[#This Row],[TS SG O 25.05.22 Rang]],$AJ$16:$AK$111,2,0)*O$5," ")</f>
        <v xml:space="preserve"> </v>
      </c>
      <c r="P166" s="109" t="str">
        <f>IFERROR(VLOOKUP(Open[[#This Row],[TS SH O 25.06.22 Rang]],$AJ$16:$AK$111,2,0)*P$5," ")</f>
        <v xml:space="preserve"> </v>
      </c>
      <c r="Q166" s="109" t="str">
        <f>IFERROR(VLOOKUP(Open[[#This Row],[TS ZH O/A 25.06.22 Rang]],$AJ$16:$AK$111,2,0)*Q$5," ")</f>
        <v xml:space="preserve"> </v>
      </c>
      <c r="R166" s="109" t="str">
        <f>IFERROR(VLOOKUP(Open[[#This Row],[TS ZH O/B 25.06.22 Rang]],$AJ$16:$AK$111,2,0)*R$5," ")</f>
        <v xml:space="preserve"> </v>
      </c>
      <c r="S166" s="109" t="str">
        <f>IFERROR(VLOOKUP(Open[[#This Row],[SM BE O/A 09.07.22 Rang]],$AJ$16:$AK$111,2,0)*S$5," ")</f>
        <v xml:space="preserve"> </v>
      </c>
      <c r="T166" s="109" t="str">
        <f>IFERROR(VLOOKUP(Open[[#This Row],[SM BE O/B 09.07.22 Rang]],$AJ$16:$AK$111,2,0)*T$5," ")</f>
        <v xml:space="preserve"> </v>
      </c>
      <c r="U166" s="11">
        <v>0</v>
      </c>
      <c r="V166" s="11">
        <v>0</v>
      </c>
      <c r="W166" s="11">
        <v>0</v>
      </c>
      <c r="X166" s="129"/>
      <c r="Y166" s="191">
        <v>21</v>
      </c>
      <c r="Z166" s="191"/>
      <c r="AA166" s="191"/>
      <c r="AB166" s="191"/>
      <c r="AC166" s="191"/>
      <c r="AD166" s="191"/>
      <c r="AE166" s="191"/>
      <c r="AF166" s="191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BB166" s="4"/>
      <c r="BC166" s="4"/>
      <c r="BD166" s="4"/>
      <c r="BE166" s="4"/>
      <c r="BF166" s="4"/>
      <c r="BG166" s="4"/>
      <c r="BH166" s="4"/>
      <c r="BI166" s="4"/>
    </row>
    <row r="167" spans="1:61" x14ac:dyDescent="0.2">
      <c r="A167" s="11">
        <v>144</v>
      </c>
      <c r="B167" s="11">
        <f>IF(Open[[#This Row],[PR Rang beim letzten Turnier]]&gt;Open[[#This Row],[PR Rang]],1,IF(Open[[#This Row],[PR Rang beim letzten Turnier]]=Open[[#This Row],[PR Rang]],0,-1))</f>
        <v>-1</v>
      </c>
      <c r="C167" s="147">
        <f>RANK(Open[[#This Row],[PR Punkte]],Open[PR Punkte],0)</f>
        <v>157</v>
      </c>
      <c r="D167" s="9" t="s">
        <v>489</v>
      </c>
      <c r="E167" s="9" t="s">
        <v>488</v>
      </c>
      <c r="F167" s="109">
        <f>SUM(Open[[#This Row],[PR 1]:[PR 3]])</f>
        <v>46.2</v>
      </c>
      <c r="G167" s="109">
        <f>LARGE(Open[[#This Row],[TS SH O 22.02.22]:[PR3]],1)</f>
        <v>46.2</v>
      </c>
      <c r="H167" s="109">
        <f>LARGE(Open[[#This Row],[TS SH O 22.02.22]:[PR3]],2)</f>
        <v>0</v>
      </c>
      <c r="I167" s="109">
        <f>LARGE(Open[[#This Row],[TS SH O 22.02.22]:[PR3]],3)</f>
        <v>0</v>
      </c>
      <c r="J167" s="9">
        <f>RANK(K167,$K$7:$K$361,0)</f>
        <v>157</v>
      </c>
      <c r="K167" s="109">
        <f>SUM(L167:W167)</f>
        <v>46.2</v>
      </c>
      <c r="L167" s="109"/>
      <c r="M167" s="109">
        <f>IFERROR(VLOOKUP(Open[[#This Row],[TS SH O 23.04.22 Rang]],$AJ$16:$AK$111,2,0)*M$5," ")</f>
        <v>46.2</v>
      </c>
      <c r="N167" s="109" t="str">
        <f>IFERROR(VLOOKUP(Open[[#This Row],[TS LA O 08.05.22 Rang]],$AJ$16:$AK$111,2,0)*N$5," ")</f>
        <v xml:space="preserve"> </v>
      </c>
      <c r="O167" s="109" t="str">
        <f>IFERROR(VLOOKUP(Open[[#This Row],[TS SG O 25.05.22 Rang]],$AJ$16:$AK$111,2,0)*O$5," ")</f>
        <v xml:space="preserve"> </v>
      </c>
      <c r="P167" s="109" t="str">
        <f>IFERROR(VLOOKUP(Open[[#This Row],[TS SH O 25.06.22 Rang]],$AJ$16:$AK$111,2,0)*P$5," ")</f>
        <v xml:space="preserve"> </v>
      </c>
      <c r="Q167" s="109" t="str">
        <f>IFERROR(VLOOKUP(Open[[#This Row],[TS ZH O/A 25.06.22 Rang]],$AJ$16:$AK$111,2,0)*Q$5," ")</f>
        <v xml:space="preserve"> </v>
      </c>
      <c r="R167" s="109" t="str">
        <f>IFERROR(VLOOKUP(Open[[#This Row],[TS ZH O/B 25.06.22 Rang]],$AJ$16:$AK$111,2,0)*R$5," ")</f>
        <v xml:space="preserve"> </v>
      </c>
      <c r="S167" s="109" t="str">
        <f>IFERROR(VLOOKUP(Open[[#This Row],[SM BE O/A 09.07.22 Rang]],$AJ$16:$AK$111,2,0)*S$5," ")</f>
        <v xml:space="preserve"> </v>
      </c>
      <c r="T167" s="109" t="str">
        <f>IFERROR(VLOOKUP(Open[[#This Row],[SM BE O/B 09.07.22 Rang]],$AJ$16:$AK$111,2,0)*T$5," ")</f>
        <v xml:space="preserve"> </v>
      </c>
      <c r="U167" s="11">
        <v>0</v>
      </c>
      <c r="V167" s="11">
        <v>0</v>
      </c>
      <c r="W167" s="11">
        <v>0</v>
      </c>
      <c r="X167" s="129"/>
      <c r="Y167" s="191">
        <v>21</v>
      </c>
      <c r="Z167" s="191"/>
      <c r="AA167" s="191"/>
      <c r="AB167" s="191"/>
      <c r="AC167" s="191"/>
      <c r="AD167" s="191"/>
      <c r="AE167" s="191"/>
      <c r="AF167" s="191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BB167" s="4"/>
      <c r="BC167" s="4"/>
      <c r="BD167" s="4"/>
      <c r="BE167" s="4"/>
      <c r="BF167" s="4"/>
      <c r="BG167" s="4"/>
      <c r="BH167" s="4"/>
      <c r="BI167" s="4"/>
    </row>
    <row r="168" spans="1:61" x14ac:dyDescent="0.2">
      <c r="A168" s="11">
        <v>144</v>
      </c>
      <c r="B168" s="11">
        <f>IF(Open[[#This Row],[PR Rang beim letzten Turnier]]&gt;Open[[#This Row],[PR Rang]],1,IF(Open[[#This Row],[PR Rang beim letzten Turnier]]=Open[[#This Row],[PR Rang]],0,-1))</f>
        <v>-1</v>
      </c>
      <c r="C168" s="147">
        <f>RANK(Open[[#This Row],[PR Punkte]],Open[PR Punkte],0)</f>
        <v>157</v>
      </c>
      <c r="D168" s="9" t="s">
        <v>490</v>
      </c>
      <c r="E168" s="9" t="s">
        <v>8</v>
      </c>
      <c r="F168" s="109">
        <f>SUM(Open[[#This Row],[PR 1]:[PR 3]])</f>
        <v>46.2</v>
      </c>
      <c r="G168" s="109">
        <f>LARGE(Open[[#This Row],[TS SH O 22.02.22]:[PR3]],1)</f>
        <v>46.2</v>
      </c>
      <c r="H168" s="109">
        <f>LARGE(Open[[#This Row],[TS SH O 22.02.22]:[PR3]],2)</f>
        <v>0</v>
      </c>
      <c r="I168" s="109">
        <f>LARGE(Open[[#This Row],[TS SH O 22.02.22]:[PR3]],3)</f>
        <v>0</v>
      </c>
      <c r="J168" s="9">
        <f>RANK(K168,$K$7:$K$361,0)</f>
        <v>157</v>
      </c>
      <c r="K168" s="109">
        <f>SUM(L168:W168)</f>
        <v>46.2</v>
      </c>
      <c r="L168" s="109"/>
      <c r="M168" s="109">
        <f>IFERROR(VLOOKUP(Open[[#This Row],[TS SH O 23.04.22 Rang]],$AJ$16:$AK$111,2,0)*M$5," ")</f>
        <v>46.2</v>
      </c>
      <c r="N168" s="109" t="str">
        <f>IFERROR(VLOOKUP(Open[[#This Row],[TS LA O 08.05.22 Rang]],$AJ$16:$AK$111,2,0)*N$5," ")</f>
        <v xml:space="preserve"> </v>
      </c>
      <c r="O168" s="109" t="str">
        <f>IFERROR(VLOOKUP(Open[[#This Row],[TS SG O 25.05.22 Rang]],$AJ$16:$AK$111,2,0)*O$5," ")</f>
        <v xml:space="preserve"> </v>
      </c>
      <c r="P168" s="109" t="str">
        <f>IFERROR(VLOOKUP(Open[[#This Row],[TS SH O 25.06.22 Rang]],$AJ$16:$AK$111,2,0)*P$5," ")</f>
        <v xml:space="preserve"> </v>
      </c>
      <c r="Q168" s="109" t="str">
        <f>IFERROR(VLOOKUP(Open[[#This Row],[TS ZH O/A 25.06.22 Rang]],$AJ$16:$AK$111,2,0)*Q$5," ")</f>
        <v xml:space="preserve"> </v>
      </c>
      <c r="R168" s="109" t="str">
        <f>IFERROR(VLOOKUP(Open[[#This Row],[TS ZH O/B 25.06.22 Rang]],$AJ$16:$AK$111,2,0)*R$5," ")</f>
        <v xml:space="preserve"> </v>
      </c>
      <c r="S168" s="109" t="str">
        <f>IFERROR(VLOOKUP(Open[[#This Row],[SM BE O/A 09.07.22 Rang]],$AJ$16:$AK$111,2,0)*S$5," ")</f>
        <v xml:space="preserve"> </v>
      </c>
      <c r="T168" s="109" t="str">
        <f>IFERROR(VLOOKUP(Open[[#This Row],[SM BE O/B 09.07.22 Rang]],$AJ$16:$AK$111,2,0)*T$5," ")</f>
        <v xml:space="preserve"> </v>
      </c>
      <c r="U168" s="11">
        <v>0</v>
      </c>
      <c r="V168" s="11">
        <v>0</v>
      </c>
      <c r="W168" s="11">
        <v>0</v>
      </c>
      <c r="X168" s="129"/>
      <c r="Y168" s="191">
        <v>22</v>
      </c>
      <c r="Z168" s="191"/>
      <c r="AA168" s="191"/>
      <c r="AB168" s="191"/>
      <c r="AC168" s="191"/>
      <c r="AD168" s="191"/>
      <c r="AE168" s="191"/>
      <c r="AF168" s="191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BB168" s="4"/>
      <c r="BC168" s="4"/>
      <c r="BD168" s="4"/>
      <c r="BE168" s="4"/>
      <c r="BF168" s="4"/>
      <c r="BG168" s="4"/>
      <c r="BH168" s="4"/>
      <c r="BI168" s="4"/>
    </row>
    <row r="169" spans="1:61" x14ac:dyDescent="0.2">
      <c r="A169" s="11">
        <v>144</v>
      </c>
      <c r="B169" s="11">
        <f>IF(Open[[#This Row],[PR Rang beim letzten Turnier]]&gt;Open[[#This Row],[PR Rang]],1,IF(Open[[#This Row],[PR Rang beim letzten Turnier]]=Open[[#This Row],[PR Rang]],0,-1))</f>
        <v>-1</v>
      </c>
      <c r="C169" s="147">
        <f>RANK(Open[[#This Row],[PR Punkte]],Open[PR Punkte],0)</f>
        <v>157</v>
      </c>
      <c r="D169" s="9" t="s">
        <v>491</v>
      </c>
      <c r="E169" s="9" t="s">
        <v>488</v>
      </c>
      <c r="F169" s="109">
        <f>SUM(Open[[#This Row],[PR 1]:[PR 3]])</f>
        <v>46.2</v>
      </c>
      <c r="G169" s="109">
        <f>LARGE(Open[[#This Row],[TS SH O 22.02.22]:[PR3]],1)</f>
        <v>46.2</v>
      </c>
      <c r="H169" s="109">
        <f>LARGE(Open[[#This Row],[TS SH O 22.02.22]:[PR3]],2)</f>
        <v>0</v>
      </c>
      <c r="I169" s="109">
        <f>LARGE(Open[[#This Row],[TS SH O 22.02.22]:[PR3]],3)</f>
        <v>0</v>
      </c>
      <c r="J169" s="9">
        <f>RANK(K169,$K$7:$K$361,0)</f>
        <v>157</v>
      </c>
      <c r="K169" s="109">
        <f>SUM(L169:W169)</f>
        <v>46.2</v>
      </c>
      <c r="L169" s="109"/>
      <c r="M169" s="109">
        <f>IFERROR(VLOOKUP(Open[[#This Row],[TS SH O 23.04.22 Rang]],$AJ$16:$AK$111,2,0)*M$5," ")</f>
        <v>46.2</v>
      </c>
      <c r="N169" s="109" t="str">
        <f>IFERROR(VLOOKUP(Open[[#This Row],[TS LA O 08.05.22 Rang]],$AJ$16:$AK$111,2,0)*N$5," ")</f>
        <v xml:space="preserve"> </v>
      </c>
      <c r="O169" s="109" t="str">
        <f>IFERROR(VLOOKUP(Open[[#This Row],[TS SG O 25.05.22 Rang]],$AJ$16:$AK$111,2,0)*O$5," ")</f>
        <v xml:space="preserve"> </v>
      </c>
      <c r="P169" s="109" t="str">
        <f>IFERROR(VLOOKUP(Open[[#This Row],[TS SH O 25.06.22 Rang]],$AJ$16:$AK$111,2,0)*P$5," ")</f>
        <v xml:space="preserve"> </v>
      </c>
      <c r="Q169" s="109" t="str">
        <f>IFERROR(VLOOKUP(Open[[#This Row],[TS ZH O/A 25.06.22 Rang]],$AJ$16:$AK$111,2,0)*Q$5," ")</f>
        <v xml:space="preserve"> </v>
      </c>
      <c r="R169" s="109" t="str">
        <f>IFERROR(VLOOKUP(Open[[#This Row],[TS ZH O/B 25.06.22 Rang]],$AJ$16:$AK$111,2,0)*R$5," ")</f>
        <v xml:space="preserve"> </v>
      </c>
      <c r="S169" s="109" t="str">
        <f>IFERROR(VLOOKUP(Open[[#This Row],[SM BE O/A 09.07.22 Rang]],$AJ$16:$AK$111,2,0)*S$5," ")</f>
        <v xml:space="preserve"> </v>
      </c>
      <c r="T169" s="109" t="str">
        <f>IFERROR(VLOOKUP(Open[[#This Row],[SM BE O/B 09.07.22 Rang]],$AJ$16:$AK$111,2,0)*T$5," ")</f>
        <v xml:space="preserve"> </v>
      </c>
      <c r="U169" s="11">
        <v>0</v>
      </c>
      <c r="V169" s="11">
        <v>0</v>
      </c>
      <c r="W169" s="11">
        <v>0</v>
      </c>
      <c r="X169" s="129"/>
      <c r="Y169" s="191">
        <v>24</v>
      </c>
      <c r="Z169" s="191"/>
      <c r="AA169" s="191"/>
      <c r="AB169" s="191"/>
      <c r="AC169" s="191"/>
      <c r="AD169" s="191"/>
      <c r="AE169" s="191"/>
      <c r="AF169" s="191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BB169" s="4"/>
      <c r="BC169" s="4"/>
      <c r="BD169" s="4"/>
      <c r="BE169" s="4"/>
      <c r="BF169" s="4"/>
      <c r="BG169" s="4"/>
      <c r="BH169" s="4"/>
      <c r="BI169" s="4"/>
    </row>
    <row r="170" spans="1:61" x14ac:dyDescent="0.2">
      <c r="A170" s="11">
        <v>144</v>
      </c>
      <c r="B170" s="11">
        <f>IF(Open[[#This Row],[PR Rang beim letzten Turnier]]&gt;Open[[#This Row],[PR Rang]],1,IF(Open[[#This Row],[PR Rang beim letzten Turnier]]=Open[[#This Row],[PR Rang]],0,-1))</f>
        <v>-1</v>
      </c>
      <c r="C170" s="147">
        <f>RANK(Open[[#This Row],[PR Punkte]],Open[PR Punkte],0)</f>
        <v>157</v>
      </c>
      <c r="D170" s="9" t="s">
        <v>494</v>
      </c>
      <c r="E170" s="9" t="s">
        <v>488</v>
      </c>
      <c r="F170" s="109">
        <f>SUM(Open[[#This Row],[PR 1]:[PR 3]])</f>
        <v>46.2</v>
      </c>
      <c r="G170" s="109">
        <f>LARGE(Open[[#This Row],[TS SH O 22.02.22]:[PR3]],1)</f>
        <v>46.2</v>
      </c>
      <c r="H170" s="109">
        <f>LARGE(Open[[#This Row],[TS SH O 22.02.22]:[PR3]],2)</f>
        <v>0</v>
      </c>
      <c r="I170" s="109">
        <f>LARGE(Open[[#This Row],[TS SH O 22.02.22]:[PR3]],3)</f>
        <v>0</v>
      </c>
      <c r="J170" s="9">
        <f>RANK(K170,$K$7:$K$361,0)</f>
        <v>157</v>
      </c>
      <c r="K170" s="109">
        <f>SUM(L170:W170)</f>
        <v>46.2</v>
      </c>
      <c r="L170" s="109"/>
      <c r="M170" s="109">
        <f>IFERROR(VLOOKUP(Open[[#This Row],[TS SH O 23.04.22 Rang]],$AJ$16:$AK$111,2,0)*M$5," ")</f>
        <v>46.2</v>
      </c>
      <c r="N170" s="109" t="str">
        <f>IFERROR(VLOOKUP(Open[[#This Row],[TS LA O 08.05.22 Rang]],$AJ$16:$AK$111,2,0)*N$5," ")</f>
        <v xml:space="preserve"> </v>
      </c>
      <c r="O170" s="109" t="str">
        <f>IFERROR(VLOOKUP(Open[[#This Row],[TS SG O 25.05.22 Rang]],$AJ$16:$AK$111,2,0)*O$5," ")</f>
        <v xml:space="preserve"> </v>
      </c>
      <c r="P170" s="109" t="str">
        <f>IFERROR(VLOOKUP(Open[[#This Row],[TS SH O 25.06.22 Rang]],$AJ$16:$AK$111,2,0)*P$5," ")</f>
        <v xml:space="preserve"> </v>
      </c>
      <c r="Q170" s="109" t="str">
        <f>IFERROR(VLOOKUP(Open[[#This Row],[TS ZH O/A 25.06.22 Rang]],$AJ$16:$AK$111,2,0)*Q$5," ")</f>
        <v xml:space="preserve"> </v>
      </c>
      <c r="R170" s="109" t="str">
        <f>IFERROR(VLOOKUP(Open[[#This Row],[TS ZH O/B 25.06.22 Rang]],$AJ$16:$AK$111,2,0)*R$5," ")</f>
        <v xml:space="preserve"> </v>
      </c>
      <c r="S170" s="109" t="str">
        <f>IFERROR(VLOOKUP(Open[[#This Row],[SM BE O/A 09.07.22 Rang]],$AJ$16:$AK$111,2,0)*S$5," ")</f>
        <v xml:space="preserve"> </v>
      </c>
      <c r="T170" s="109" t="str">
        <f>IFERROR(VLOOKUP(Open[[#This Row],[SM BE O/B 09.07.22 Rang]],$AJ$16:$AK$111,2,0)*T$5," ")</f>
        <v xml:space="preserve"> </v>
      </c>
      <c r="U170" s="11">
        <v>0</v>
      </c>
      <c r="V170" s="11">
        <v>0</v>
      </c>
      <c r="W170" s="11">
        <v>0</v>
      </c>
      <c r="X170" s="129"/>
      <c r="Y170" s="191">
        <v>25</v>
      </c>
      <c r="Z170" s="191"/>
      <c r="AA170" s="191"/>
      <c r="AB170" s="191"/>
      <c r="AC170" s="191"/>
      <c r="AD170" s="191"/>
      <c r="AE170" s="191"/>
      <c r="AF170" s="191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BB170" s="4"/>
      <c r="BC170" s="4"/>
      <c r="BD170" s="4"/>
      <c r="BE170" s="4"/>
      <c r="BF170" s="4"/>
      <c r="BG170" s="4"/>
      <c r="BH170" s="4"/>
      <c r="BI170" s="4"/>
    </row>
    <row r="171" spans="1:61" x14ac:dyDescent="0.2">
      <c r="A171" s="11">
        <v>144</v>
      </c>
      <c r="B171" s="11">
        <f>IF(Open[[#This Row],[PR Rang beim letzten Turnier]]&gt;Open[[#This Row],[PR Rang]],1,IF(Open[[#This Row],[PR Rang beim letzten Turnier]]=Open[[#This Row],[PR Rang]],0,-1))</f>
        <v>-1</v>
      </c>
      <c r="C171" s="147">
        <f>RANK(Open[[#This Row],[PR Punkte]],Open[PR Punkte],0)</f>
        <v>157</v>
      </c>
      <c r="D171" s="9" t="s">
        <v>468</v>
      </c>
      <c r="E171" s="9" t="s">
        <v>8</v>
      </c>
      <c r="F171" s="109">
        <f>SUM(Open[[#This Row],[PR 1]:[PR 3]])</f>
        <v>46.2</v>
      </c>
      <c r="G171" s="109">
        <f>LARGE(Open[[#This Row],[TS SH O 22.02.22]:[PR3]],1)</f>
        <v>46.2</v>
      </c>
      <c r="H171" s="109">
        <f>LARGE(Open[[#This Row],[TS SH O 22.02.22]:[PR3]],2)</f>
        <v>0</v>
      </c>
      <c r="I171" s="109">
        <f>LARGE(Open[[#This Row],[TS SH O 22.02.22]:[PR3]],3)</f>
        <v>0</v>
      </c>
      <c r="J171" s="9">
        <f>RANK(K171,$K$7:$K$361,0)</f>
        <v>157</v>
      </c>
      <c r="K171" s="109">
        <f>SUM(L171:W171)</f>
        <v>46.2</v>
      </c>
      <c r="L171" s="109"/>
      <c r="M171" s="109">
        <f>IFERROR(VLOOKUP(Open[[#This Row],[TS SH O 23.04.22 Rang]],$AJ$16:$AK$111,2,0)*M$5," ")</f>
        <v>46.2</v>
      </c>
      <c r="N171" s="109" t="str">
        <f>IFERROR(VLOOKUP(Open[[#This Row],[TS LA O 08.05.22 Rang]],$AJ$16:$AK$111,2,0)*N$5," ")</f>
        <v xml:space="preserve"> </v>
      </c>
      <c r="O171" s="109" t="str">
        <f>IFERROR(VLOOKUP(Open[[#This Row],[TS SG O 25.05.22 Rang]],$AJ$16:$AK$111,2,0)*O$5," ")</f>
        <v xml:space="preserve"> </v>
      </c>
      <c r="P171" s="109" t="str">
        <f>IFERROR(VLOOKUP(Open[[#This Row],[TS SH O 25.06.22 Rang]],$AJ$16:$AK$111,2,0)*P$5," ")</f>
        <v xml:space="preserve"> </v>
      </c>
      <c r="Q171" s="109" t="str">
        <f>IFERROR(VLOOKUP(Open[[#This Row],[TS ZH O/A 25.06.22 Rang]],$AJ$16:$AK$111,2,0)*Q$5," ")</f>
        <v xml:space="preserve"> </v>
      </c>
      <c r="R171" s="109" t="str">
        <f>IFERROR(VLOOKUP(Open[[#This Row],[TS ZH O/B 25.06.22 Rang]],$AJ$16:$AK$111,2,0)*R$5," ")</f>
        <v xml:space="preserve"> </v>
      </c>
      <c r="S171" s="109" t="str">
        <f>IFERROR(VLOOKUP(Open[[#This Row],[SM BE O/A 09.07.22 Rang]],$AJ$16:$AK$111,2,0)*S$5," ")</f>
        <v xml:space="preserve"> </v>
      </c>
      <c r="T171" s="109" t="str">
        <f>IFERROR(VLOOKUP(Open[[#This Row],[SM BE O/B 09.07.22 Rang]],$AJ$16:$AK$111,2,0)*T$5," ")</f>
        <v xml:space="preserve"> </v>
      </c>
      <c r="U171" s="11">
        <v>0</v>
      </c>
      <c r="V171" s="11">
        <v>0</v>
      </c>
      <c r="W171" s="11">
        <v>0</v>
      </c>
      <c r="X171" s="129"/>
      <c r="Y171" s="191">
        <v>26</v>
      </c>
      <c r="Z171" s="191"/>
      <c r="AA171" s="191"/>
      <c r="AB171" s="191"/>
      <c r="AC171" s="191"/>
      <c r="AD171" s="191"/>
      <c r="AE171" s="191"/>
      <c r="AF171" s="191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BB171" s="4"/>
      <c r="BC171" s="4"/>
      <c r="BD171" s="4"/>
      <c r="BE171" s="4"/>
      <c r="BF171" s="4"/>
      <c r="BG171" s="4"/>
      <c r="BH171" s="4"/>
      <c r="BI171" s="4"/>
    </row>
    <row r="172" spans="1:61" x14ac:dyDescent="0.2">
      <c r="A172" s="11">
        <v>153</v>
      </c>
      <c r="B172" s="11">
        <f>IF(Open[[#This Row],[PR Rang beim letzten Turnier]]&gt;Open[[#This Row],[PR Rang]],1,IF(Open[[#This Row],[PR Rang beim letzten Turnier]]=Open[[#This Row],[PR Rang]],0,-1))</f>
        <v>-1</v>
      </c>
      <c r="C172" s="147">
        <f>RANK(Open[[#This Row],[PR Punkte]],Open[PR Punkte],0)</f>
        <v>166</v>
      </c>
      <c r="D172" s="31" t="s">
        <v>100</v>
      </c>
      <c r="E172" s="9" t="s">
        <v>17</v>
      </c>
      <c r="F172" s="109">
        <f>SUM(Open[[#This Row],[PR 1]:[PR 3]])</f>
        <v>44.4</v>
      </c>
      <c r="G172" s="109">
        <f>LARGE(Open[[#This Row],[TS SH O 22.02.22]:[PR3]],1)</f>
        <v>44.4</v>
      </c>
      <c r="H172" s="109">
        <f>LARGE(Open[[#This Row],[TS SH O 22.02.22]:[PR3]],2)</f>
        <v>0</v>
      </c>
      <c r="I172" s="109">
        <f>LARGE(Open[[#This Row],[TS SH O 22.02.22]:[PR3]],3)</f>
        <v>0</v>
      </c>
      <c r="J172" s="9">
        <f>RANK(K172,$K$7:$K$295,0)</f>
        <v>166</v>
      </c>
      <c r="K172" s="109">
        <f>SUM(L172:W172)</f>
        <v>44.4</v>
      </c>
      <c r="L172" s="109" t="str">
        <f>IFERROR(VLOOKUP(Open[[#This Row],[TS SH 22.02.22 Rang]],$AJ$16:$AK$111,2,0)*L$5," ")</f>
        <v xml:space="preserve"> </v>
      </c>
      <c r="M172" s="109" t="str">
        <f>IFERROR(VLOOKUP(Open[[#This Row],[TS SH O 23.04.22 Rang]],$AJ$16:$AK$111,2,0)*M$5," ")</f>
        <v xml:space="preserve"> </v>
      </c>
      <c r="N172" s="109" t="str">
        <f>IFERROR(VLOOKUP(Open[[#This Row],[TS LA O 08.05.22 Rang]],$AJ$16:$AK$111,2,0)*N$5," ")</f>
        <v xml:space="preserve"> </v>
      </c>
      <c r="O172" s="109" t="str">
        <f>IFERROR(VLOOKUP(Open[[#This Row],[TS SG O 25.05.22 Rang]],$AJ$16:$AK$111,2,0)*O$5," ")</f>
        <v xml:space="preserve"> </v>
      </c>
      <c r="P172" s="109">
        <f>IFERROR(VLOOKUP(Open[[#This Row],[TS SH O 25.06.22 Rang]],$AJ$16:$AK$111,2,0)*P$5," ")</f>
        <v>44.4</v>
      </c>
      <c r="Q172" s="109" t="str">
        <f>IFERROR(VLOOKUP(Open[[#This Row],[TS ZH O/A 25.06.22 Rang]],$AJ$16:$AK$111,2,0)*Q$5," ")</f>
        <v xml:space="preserve"> </v>
      </c>
      <c r="R172" s="109" t="str">
        <f>IFERROR(VLOOKUP(Open[[#This Row],[TS ZH O/B 25.06.22 Rang]],$AJ$16:$AK$111,2,0)*R$5," ")</f>
        <v xml:space="preserve"> </v>
      </c>
      <c r="S172" s="109" t="str">
        <f>IFERROR(VLOOKUP(Open[[#This Row],[SM BE O/A 09.07.22 Rang]],$AJ$16:$AK$111,2,0)*S$5," ")</f>
        <v xml:space="preserve"> </v>
      </c>
      <c r="T172" s="109" t="str">
        <f>IFERROR(VLOOKUP(Open[[#This Row],[SM BE O/B 09.07.22 Rang]],$AJ$16:$AK$111,2,0)*T$5," ")</f>
        <v xml:space="preserve"> </v>
      </c>
      <c r="U172" s="11">
        <v>0</v>
      </c>
      <c r="V172" s="11">
        <v>0</v>
      </c>
      <c r="W172" s="11">
        <v>0</v>
      </c>
      <c r="X172" s="129"/>
      <c r="Y172" s="191"/>
      <c r="Z172" s="191"/>
      <c r="AA172" s="191"/>
      <c r="AB172" s="191">
        <v>23</v>
      </c>
      <c r="AC172" s="191"/>
      <c r="AD172" s="191"/>
      <c r="AE172" s="191"/>
      <c r="AF172" s="191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BB172" s="4"/>
      <c r="BC172" s="4"/>
      <c r="BD172" s="4"/>
      <c r="BE172" s="4"/>
      <c r="BF172" s="4"/>
      <c r="BG172" s="4"/>
      <c r="BH172" s="4"/>
      <c r="BI172" s="4"/>
    </row>
    <row r="173" spans="1:61" x14ac:dyDescent="0.2">
      <c r="A173" s="11">
        <v>153</v>
      </c>
      <c r="B173" s="11">
        <f>IF(Open[[#This Row],[PR Rang beim letzten Turnier]]&gt;Open[[#This Row],[PR Rang]],1,IF(Open[[#This Row],[PR Rang beim letzten Turnier]]=Open[[#This Row],[PR Rang]],0,-1))</f>
        <v>-1</v>
      </c>
      <c r="C173" s="147">
        <f>RANK(Open[[#This Row],[PR Punkte]],Open[PR Punkte],0)</f>
        <v>166</v>
      </c>
      <c r="D173" s="9" t="s">
        <v>149</v>
      </c>
      <c r="E173" s="9" t="s">
        <v>17</v>
      </c>
      <c r="F173" s="109">
        <f>SUM(Open[[#This Row],[PR 1]:[PR 3]])</f>
        <v>44.4</v>
      </c>
      <c r="G173" s="109">
        <f>LARGE(Open[[#This Row],[TS SH O 22.02.22]:[PR3]],1)</f>
        <v>44.4</v>
      </c>
      <c r="H173" s="109">
        <f>LARGE(Open[[#This Row],[TS SH O 22.02.22]:[PR3]],2)</f>
        <v>0</v>
      </c>
      <c r="I173" s="109">
        <f>LARGE(Open[[#This Row],[TS SH O 22.02.22]:[PR3]],3)</f>
        <v>0</v>
      </c>
      <c r="J173" s="9">
        <f>RANK(K173,$K$7:$K$295,0)</f>
        <v>166</v>
      </c>
      <c r="K173" s="109">
        <f>SUM(L173:W173)</f>
        <v>44.4</v>
      </c>
      <c r="L173" s="109" t="str">
        <f>IFERROR(VLOOKUP(Open[[#This Row],[TS SH 22.02.22 Rang]],$AJ$16:$AK$111,2,0)*L$5," ")</f>
        <v xml:space="preserve"> </v>
      </c>
      <c r="M173" s="109" t="str">
        <f>IFERROR(VLOOKUP(Open[[#This Row],[TS SH O 23.04.22 Rang]],$AJ$16:$AK$111,2,0)*M$5," ")</f>
        <v xml:space="preserve"> </v>
      </c>
      <c r="N173" s="109" t="str">
        <f>IFERROR(VLOOKUP(Open[[#This Row],[TS LA O 08.05.22 Rang]],$AJ$16:$AK$111,2,0)*N$5," ")</f>
        <v xml:space="preserve"> </v>
      </c>
      <c r="O173" s="109" t="str">
        <f>IFERROR(VLOOKUP(Open[[#This Row],[TS SG O 25.05.22 Rang]],$AJ$16:$AK$111,2,0)*O$5," ")</f>
        <v xml:space="preserve"> </v>
      </c>
      <c r="P173" s="109">
        <f>IFERROR(VLOOKUP(Open[[#This Row],[TS SH O 25.06.22 Rang]],$AJ$16:$AK$111,2,0)*P$5," ")</f>
        <v>44.4</v>
      </c>
      <c r="Q173" s="109" t="str">
        <f>IFERROR(VLOOKUP(Open[[#This Row],[TS ZH O/A 25.06.22 Rang]],$AJ$16:$AK$111,2,0)*Q$5," ")</f>
        <v xml:space="preserve"> </v>
      </c>
      <c r="R173" s="109" t="str">
        <f>IFERROR(VLOOKUP(Open[[#This Row],[TS ZH O/B 25.06.22 Rang]],$AJ$16:$AK$111,2,0)*R$5," ")</f>
        <v xml:space="preserve"> </v>
      </c>
      <c r="S173" s="109" t="str">
        <f>IFERROR(VLOOKUP(Open[[#This Row],[SM BE O/A 09.07.22 Rang]],$AJ$16:$AK$111,2,0)*S$5," ")</f>
        <v xml:space="preserve"> </v>
      </c>
      <c r="T173" s="109" t="str">
        <f>IFERROR(VLOOKUP(Open[[#This Row],[SM BE O/B 09.07.22 Rang]],$AJ$16:$AK$111,2,0)*T$5," ")</f>
        <v xml:space="preserve"> </v>
      </c>
      <c r="U173" s="11">
        <v>0</v>
      </c>
      <c r="V173" s="11">
        <v>0</v>
      </c>
      <c r="W173" s="11">
        <v>0</v>
      </c>
      <c r="X173" s="129"/>
      <c r="Y173" s="191"/>
      <c r="Z173" s="191"/>
      <c r="AA173" s="191"/>
      <c r="AB173" s="191">
        <v>23</v>
      </c>
      <c r="AC173" s="191"/>
      <c r="AD173" s="191"/>
      <c r="AE173" s="191"/>
      <c r="AF173" s="191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BB173" s="4"/>
      <c r="BC173" s="4"/>
      <c r="BD173" s="4"/>
      <c r="BE173" s="4"/>
      <c r="BF173" s="4"/>
      <c r="BG173" s="4"/>
      <c r="BH173" s="4"/>
      <c r="BI173" s="4"/>
    </row>
    <row r="174" spans="1:61" x14ac:dyDescent="0.2">
      <c r="A174" s="11">
        <v>153</v>
      </c>
      <c r="B174" s="11">
        <f>IF(Open[[#This Row],[PR Rang beim letzten Turnier]]&gt;Open[[#This Row],[PR Rang]],1,IF(Open[[#This Row],[PR Rang beim letzten Turnier]]=Open[[#This Row],[PR Rang]],0,-1))</f>
        <v>-1</v>
      </c>
      <c r="C174" s="147">
        <f>RANK(Open[[#This Row],[PR Punkte]],Open[PR Punkte],0)</f>
        <v>166</v>
      </c>
      <c r="D174" s="8" t="s">
        <v>197</v>
      </c>
      <c r="E174" s="9" t="s">
        <v>8</v>
      </c>
      <c r="F174" s="109">
        <f>SUM(Open[[#This Row],[PR 1]:[PR 3]])</f>
        <v>44.4</v>
      </c>
      <c r="G174" s="109">
        <f>LARGE(Open[[#This Row],[TS SH O 22.02.22]:[PR3]],1)</f>
        <v>44.4</v>
      </c>
      <c r="H174" s="109">
        <f>LARGE(Open[[#This Row],[TS SH O 22.02.22]:[PR3]],2)</f>
        <v>0</v>
      </c>
      <c r="I174" s="109">
        <f>LARGE(Open[[#This Row],[TS SH O 22.02.22]:[PR3]],3)</f>
        <v>0</v>
      </c>
      <c r="J174" s="9">
        <f>RANK(K174,$K$7:$K$295,0)</f>
        <v>166</v>
      </c>
      <c r="K174" s="109">
        <f>SUM(L174:W174)</f>
        <v>44.4</v>
      </c>
      <c r="L174" s="109" t="str">
        <f>IFERROR(VLOOKUP(Open[[#This Row],[TS SH 22.02.22 Rang]],$AJ$16:$AK$111,2,0)*L$5," ")</f>
        <v xml:space="preserve"> </v>
      </c>
      <c r="M174" s="109" t="str">
        <f>IFERROR(VLOOKUP(Open[[#This Row],[TS SH O 23.04.22 Rang]],$AJ$16:$AK$111,2,0)*M$5," ")</f>
        <v xml:space="preserve"> </v>
      </c>
      <c r="N174" s="109" t="str">
        <f>IFERROR(VLOOKUP(Open[[#This Row],[TS LA O 08.05.22 Rang]],$AJ$16:$AK$111,2,0)*N$5," ")</f>
        <v xml:space="preserve"> </v>
      </c>
      <c r="O174" s="109">
        <f>IFERROR(VLOOKUP(Open[[#This Row],[TS SG O 25.05.22 Rang]],$AJ$16:$AK$111,2,0)*O$5," ")</f>
        <v>44.4</v>
      </c>
      <c r="P174" s="109" t="str">
        <f>IFERROR(VLOOKUP(Open[[#This Row],[TS SH O 25.06.22 Rang]],$AJ$16:$AK$111,2,0)*P$5," ")</f>
        <v xml:space="preserve"> </v>
      </c>
      <c r="Q174" s="109" t="str">
        <f>IFERROR(VLOOKUP(Open[[#This Row],[TS ZH O/A 25.06.22 Rang]],$AJ$16:$AK$111,2,0)*Q$5," ")</f>
        <v xml:space="preserve"> </v>
      </c>
      <c r="R174" s="109" t="str">
        <f>IFERROR(VLOOKUP(Open[[#This Row],[TS ZH O/B 25.06.22 Rang]],$AJ$16:$AK$111,2,0)*R$5," ")</f>
        <v xml:space="preserve"> </v>
      </c>
      <c r="S174" s="109" t="str">
        <f>IFERROR(VLOOKUP(Open[[#This Row],[SM BE O/A 09.07.22 Rang]],$AJ$16:$AK$111,2,0)*S$5," ")</f>
        <v xml:space="preserve"> </v>
      </c>
      <c r="T174" s="109" t="str">
        <f>IFERROR(VLOOKUP(Open[[#This Row],[SM BE O/B 09.07.22 Rang]],$AJ$16:$AK$111,2,0)*T$5," ")</f>
        <v xml:space="preserve"> </v>
      </c>
      <c r="U174" s="11">
        <v>0</v>
      </c>
      <c r="V174" s="11">
        <v>0</v>
      </c>
      <c r="W174" s="11">
        <v>0</v>
      </c>
      <c r="X174" s="129"/>
      <c r="Y174" s="191"/>
      <c r="Z174" s="191"/>
      <c r="AA174" s="191">
        <v>19</v>
      </c>
      <c r="AB174" s="191"/>
      <c r="AC174" s="191"/>
      <c r="AD174" s="191"/>
      <c r="AE174" s="191"/>
      <c r="AF174" s="191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BB174" s="4"/>
      <c r="BC174" s="4"/>
      <c r="BD174" s="4"/>
      <c r="BE174" s="4"/>
      <c r="BF174" s="4"/>
      <c r="BG174" s="4"/>
      <c r="BH174" s="4"/>
      <c r="BI174" s="4"/>
    </row>
    <row r="175" spans="1:61" x14ac:dyDescent="0.2">
      <c r="A175" s="11">
        <v>153</v>
      </c>
      <c r="B175" s="86">
        <f>IF(Open[[#This Row],[PR Rang beim letzten Turnier]]&gt;Open[[#This Row],[PR Rang]],1,IF(Open[[#This Row],[PR Rang beim letzten Turnier]]=Open[[#This Row],[PR Rang]],0,-1))</f>
        <v>-1</v>
      </c>
      <c r="C175" s="147">
        <f>RANK(Open[[#This Row],[PR Punkte]],Open[PR Punkte],0)</f>
        <v>166</v>
      </c>
      <c r="D175" s="25" t="s">
        <v>260</v>
      </c>
      <c r="E175" s="31" t="s">
        <v>7</v>
      </c>
      <c r="F175" s="109">
        <f>SUM(Open[[#This Row],[PR 1]:[PR 3]])</f>
        <v>44.4</v>
      </c>
      <c r="G175" s="109">
        <f>LARGE(Open[[#This Row],[TS SH O 22.02.22]:[PR3]],1)</f>
        <v>44.4</v>
      </c>
      <c r="H175" s="109">
        <f>LARGE(Open[[#This Row],[TS SH O 22.02.22]:[PR3]],2)</f>
        <v>0</v>
      </c>
      <c r="I175" s="109">
        <f>LARGE(Open[[#This Row],[TS SH O 22.02.22]:[PR3]],3)</f>
        <v>0</v>
      </c>
      <c r="J175" s="31">
        <f>RANK(K175,$K$7:$K$295,0)</f>
        <v>166</v>
      </c>
      <c r="K175" s="109">
        <f>SUM(L175:W175)</f>
        <v>44.4</v>
      </c>
      <c r="L175" s="109" t="str">
        <f>IFERROR(VLOOKUP(Open[[#This Row],[TS SH 22.02.22 Rang]],$AJ$16:$AK$111,2,0)*L$5," ")</f>
        <v xml:space="preserve"> </v>
      </c>
      <c r="M175" s="109" t="str">
        <f>IFERROR(VLOOKUP(Open[[#This Row],[TS SH O 23.04.22 Rang]],$AJ$16:$AK$111,2,0)*M$5," ")</f>
        <v xml:space="preserve"> </v>
      </c>
      <c r="N175" s="109" t="str">
        <f>IFERROR(VLOOKUP(Open[[#This Row],[TS LA O 08.05.22 Rang]],$AJ$16:$AK$111,2,0)*N$5," ")</f>
        <v xml:space="preserve"> </v>
      </c>
      <c r="O175" s="109">
        <f>IFERROR(VLOOKUP(Open[[#This Row],[TS SG O 25.05.22 Rang]],$AJ$16:$AK$111,2,0)*O$5," ")</f>
        <v>44.4</v>
      </c>
      <c r="P175" s="109" t="str">
        <f>IFERROR(VLOOKUP(Open[[#This Row],[TS SH O 25.06.22 Rang]],$AJ$16:$AK$111,2,0)*P$5," ")</f>
        <v xml:space="preserve"> </v>
      </c>
      <c r="Q175" s="109" t="str">
        <f>IFERROR(VLOOKUP(Open[[#This Row],[TS ZH O/A 25.06.22 Rang]],$AJ$16:$AK$111,2,0)*Q$5," ")</f>
        <v xml:space="preserve"> </v>
      </c>
      <c r="R175" s="109" t="str">
        <f>IFERROR(VLOOKUP(Open[[#This Row],[TS ZH O/B 25.06.22 Rang]],$AJ$16:$AK$111,2,0)*R$5," ")</f>
        <v xml:space="preserve"> </v>
      </c>
      <c r="S175" s="109" t="str">
        <f>IFERROR(VLOOKUP(Open[[#This Row],[SM BE O/A 09.07.22 Rang]],$AJ$16:$AK$111,2,0)*S$5," ")</f>
        <v xml:space="preserve"> </v>
      </c>
      <c r="T175" s="109" t="str">
        <f>IFERROR(VLOOKUP(Open[[#This Row],[SM BE O/B 09.07.22 Rang]],$AJ$16:$AK$111,2,0)*T$5," ")</f>
        <v xml:space="preserve"> </v>
      </c>
      <c r="U175" s="11">
        <v>0</v>
      </c>
      <c r="V175" s="11">
        <v>0</v>
      </c>
      <c r="W175" s="11">
        <v>0</v>
      </c>
      <c r="X175" s="129"/>
      <c r="Y175" s="191"/>
      <c r="Z175" s="191"/>
      <c r="AA175" s="191">
        <v>21</v>
      </c>
      <c r="AB175" s="191"/>
      <c r="AC175" s="191"/>
      <c r="AD175" s="191"/>
      <c r="AE175" s="191"/>
      <c r="AF175" s="191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BB175" s="4"/>
      <c r="BC175" s="4"/>
      <c r="BD175" s="4"/>
      <c r="BE175" s="4"/>
      <c r="BF175" s="4"/>
      <c r="BG175" s="4"/>
      <c r="BH175" s="4"/>
      <c r="BI175" s="4"/>
    </row>
    <row r="176" spans="1:61" x14ac:dyDescent="0.2">
      <c r="A176" s="11">
        <v>153</v>
      </c>
      <c r="B176" s="11">
        <f>IF(Open[[#This Row],[PR Rang beim letzten Turnier]]&gt;Open[[#This Row],[PR Rang]],1,IF(Open[[#This Row],[PR Rang beim letzten Turnier]]=Open[[#This Row],[PR Rang]],0,-1))</f>
        <v>-1</v>
      </c>
      <c r="C176" s="147">
        <f>RANK(Open[[#This Row],[PR Punkte]],Open[PR Punkte],0)</f>
        <v>166</v>
      </c>
      <c r="D176" s="31" t="s">
        <v>96</v>
      </c>
      <c r="E176" s="9" t="s">
        <v>7</v>
      </c>
      <c r="F176" s="109">
        <f>SUM(Open[[#This Row],[PR 1]:[PR 3]])</f>
        <v>44.4</v>
      </c>
      <c r="G176" s="109">
        <f>LARGE(Open[[#This Row],[TS SH O 22.02.22]:[PR3]],1)</f>
        <v>44.4</v>
      </c>
      <c r="H176" s="109">
        <f>LARGE(Open[[#This Row],[TS SH O 22.02.22]:[PR3]],2)</f>
        <v>0</v>
      </c>
      <c r="I176" s="109">
        <f>LARGE(Open[[#This Row],[TS SH O 22.02.22]:[PR3]],3)</f>
        <v>0</v>
      </c>
      <c r="J176" s="9">
        <f>RANK(K176,$K$7:$K$295,0)</f>
        <v>166</v>
      </c>
      <c r="K176" s="109">
        <f>SUM(L176:W176)</f>
        <v>44.4</v>
      </c>
      <c r="L176" s="109" t="str">
        <f>IFERROR(VLOOKUP(Open[[#This Row],[TS SH 22.02.22 Rang]],$AJ$16:$AK$111,2,0)*L$5," ")</f>
        <v xml:space="preserve"> </v>
      </c>
      <c r="M176" s="109" t="str">
        <f>IFERROR(VLOOKUP(Open[[#This Row],[TS SH O 23.04.22 Rang]],$AJ$16:$AK$111,2,0)*M$5," ")</f>
        <v xml:space="preserve"> </v>
      </c>
      <c r="N176" s="109" t="str">
        <f>IFERROR(VLOOKUP(Open[[#This Row],[TS LA O 08.05.22 Rang]],$AJ$16:$AK$111,2,0)*N$5," ")</f>
        <v xml:space="preserve"> </v>
      </c>
      <c r="O176" s="109">
        <f>IFERROR(VLOOKUP(Open[[#This Row],[TS SG O 25.05.22 Rang]],$AJ$16:$AK$111,2,0)*O$5," ")</f>
        <v>44.4</v>
      </c>
      <c r="P176" s="109" t="str">
        <f>IFERROR(VLOOKUP(Open[[#This Row],[TS SH O 25.06.22 Rang]],$AJ$16:$AK$111,2,0)*P$5," ")</f>
        <v xml:space="preserve"> </v>
      </c>
      <c r="Q176" s="109" t="str">
        <f>IFERROR(VLOOKUP(Open[[#This Row],[TS ZH O/A 25.06.22 Rang]],$AJ$16:$AK$111,2,0)*Q$5," ")</f>
        <v xml:space="preserve"> </v>
      </c>
      <c r="R176" s="109" t="str">
        <f>IFERROR(VLOOKUP(Open[[#This Row],[TS ZH O/B 25.06.22 Rang]],$AJ$16:$AK$111,2,0)*R$5," ")</f>
        <v xml:space="preserve"> </v>
      </c>
      <c r="S176" s="109" t="str">
        <f>IFERROR(VLOOKUP(Open[[#This Row],[SM BE O/A 09.07.22 Rang]],$AJ$16:$AK$111,2,0)*S$5," ")</f>
        <v xml:space="preserve"> </v>
      </c>
      <c r="T176" s="109" t="str">
        <f>IFERROR(VLOOKUP(Open[[#This Row],[SM BE O/B 09.07.22 Rang]],$AJ$16:$AK$111,2,0)*T$5," ")</f>
        <v xml:space="preserve"> </v>
      </c>
      <c r="U176" s="11">
        <v>0</v>
      </c>
      <c r="V176" s="11">
        <v>0</v>
      </c>
      <c r="W176" s="11">
        <v>0</v>
      </c>
      <c r="X176" s="129"/>
      <c r="Y176" s="191"/>
      <c r="Z176" s="191"/>
      <c r="AA176" s="191">
        <v>22</v>
      </c>
      <c r="AB176" s="191"/>
      <c r="AC176" s="191"/>
      <c r="AD176" s="191"/>
      <c r="AE176" s="191"/>
      <c r="AF176" s="191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BB176" s="4"/>
      <c r="BC176" s="4"/>
      <c r="BD176" s="4"/>
      <c r="BE176" s="4"/>
      <c r="BF176" s="4"/>
      <c r="BG176" s="4"/>
      <c r="BH176" s="4"/>
      <c r="BI176" s="4"/>
    </row>
    <row r="177" spans="1:61" x14ac:dyDescent="0.2">
      <c r="A177" s="86">
        <v>153</v>
      </c>
      <c r="B177" s="11">
        <f>IF(Open[[#This Row],[PR Rang beim letzten Turnier]]&gt;Open[[#This Row],[PR Rang]],1,IF(Open[[#This Row],[PR Rang beim letzten Turnier]]=Open[[#This Row],[PR Rang]],0,-1))</f>
        <v>-1</v>
      </c>
      <c r="C177" s="194">
        <f>RANK(Open[[#This Row],[PR Punkte]],Open[PR Punkte],0)</f>
        <v>166</v>
      </c>
      <c r="D177" s="9" t="s">
        <v>582</v>
      </c>
      <c r="E177" s="11" t="s">
        <v>11</v>
      </c>
      <c r="F177" s="195">
        <f>SUM(Open[[#This Row],[PR 1]:[PR 3]])</f>
        <v>44.4</v>
      </c>
      <c r="G177" s="109">
        <f>LARGE(Open[[#This Row],[TS SH O 22.02.22]:[PR3]],1)</f>
        <v>44.4</v>
      </c>
      <c r="H177" s="109">
        <f>LARGE(Open[[#This Row],[TS SH O 22.02.22]:[PR3]],2)</f>
        <v>0</v>
      </c>
      <c r="I177" s="109">
        <f>LARGE(Open[[#This Row],[TS SH O 22.02.22]:[PR3]],3)</f>
        <v>0</v>
      </c>
      <c r="J177" s="196">
        <f>RANK(K177,$K$7:$K$361,0)</f>
        <v>166</v>
      </c>
      <c r="K177" s="109">
        <f>SUM(L177:W177)</f>
        <v>44.4</v>
      </c>
      <c r="L177" s="109"/>
      <c r="M177" s="109" t="str">
        <f>IFERROR(VLOOKUP(Open[[#This Row],[TS SH O 23.04.22 Rang]],$AJ$16:$AK$111,2,0)*M$5," ")</f>
        <v xml:space="preserve"> </v>
      </c>
      <c r="N177" s="109" t="str">
        <f>IFERROR(VLOOKUP(Open[[#This Row],[TS LA O 08.05.22 Rang]],$AJ$16:$AK$111,2,0)*N$5," ")</f>
        <v xml:space="preserve"> </v>
      </c>
      <c r="O177" s="109">
        <f>IFERROR(VLOOKUP(Open[[#This Row],[TS SG O 25.05.22 Rang]],$AJ$16:$AK$111,2,0)*O$5," ")</f>
        <v>44.4</v>
      </c>
      <c r="P177" s="109" t="str">
        <f>IFERROR(VLOOKUP(Open[[#This Row],[TS SH O 25.06.22 Rang]],$AJ$16:$AK$111,2,0)*P$5," ")</f>
        <v xml:space="preserve"> </v>
      </c>
      <c r="Q177" s="109" t="str">
        <f>IFERROR(VLOOKUP(Open[[#This Row],[TS ZH O/A 25.06.22 Rang]],$AJ$16:$AK$111,2,0)*Q$5," ")</f>
        <v xml:space="preserve"> </v>
      </c>
      <c r="R177" s="109" t="str">
        <f>IFERROR(VLOOKUP(Open[[#This Row],[TS ZH O/B 25.06.22 Rang]],$AJ$16:$AK$111,2,0)*R$5," ")</f>
        <v xml:space="preserve"> </v>
      </c>
      <c r="S177" s="109" t="str">
        <f>IFERROR(VLOOKUP(Open[[#This Row],[SM BE O/A 09.07.22 Rang]],$AJ$16:$AK$111,2,0)*S$5," ")</f>
        <v xml:space="preserve"> </v>
      </c>
      <c r="T177" s="109" t="str">
        <f>IFERROR(VLOOKUP(Open[[#This Row],[SM BE O/B 09.07.22 Rang]],$AJ$16:$AK$111,2,0)*T$5," ")</f>
        <v xml:space="preserve"> </v>
      </c>
      <c r="U177" s="11">
        <v>0</v>
      </c>
      <c r="V177" s="11">
        <v>0</v>
      </c>
      <c r="W177" s="11">
        <v>0</v>
      </c>
      <c r="X177" s="129"/>
      <c r="Y177" s="191"/>
      <c r="Z177" s="191"/>
      <c r="AA177" s="191">
        <v>18</v>
      </c>
      <c r="AB177" s="191"/>
      <c r="AC177" s="191"/>
      <c r="AD177" s="191"/>
      <c r="AE177" s="191"/>
      <c r="AF177" s="191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BB177" s="4"/>
      <c r="BC177" s="4"/>
      <c r="BD177" s="4"/>
      <c r="BE177" s="4"/>
      <c r="BF177" s="4"/>
      <c r="BG177" s="4"/>
      <c r="BH177" s="4"/>
      <c r="BI177" s="4"/>
    </row>
    <row r="178" spans="1:61" x14ac:dyDescent="0.2">
      <c r="A178" s="86">
        <v>153</v>
      </c>
      <c r="B178" s="11">
        <f>IF(Open[[#This Row],[PR Rang beim letzten Turnier]]&gt;Open[[#This Row],[PR Rang]],1,IF(Open[[#This Row],[PR Rang beim letzten Turnier]]=Open[[#This Row],[PR Rang]],0,-1))</f>
        <v>-1</v>
      </c>
      <c r="C178" s="194">
        <f>RANK(Open[[#This Row],[PR Punkte]],Open[PR Punkte],0)</f>
        <v>166</v>
      </c>
      <c r="D178" s="9" t="s">
        <v>583</v>
      </c>
      <c r="E178" s="11" t="s">
        <v>11</v>
      </c>
      <c r="F178" s="195">
        <f>SUM(Open[[#This Row],[PR 1]:[PR 3]])</f>
        <v>44.4</v>
      </c>
      <c r="G178" s="109">
        <f>LARGE(Open[[#This Row],[TS SH O 22.02.22]:[PR3]],1)</f>
        <v>44.4</v>
      </c>
      <c r="H178" s="109">
        <f>LARGE(Open[[#This Row],[TS SH O 22.02.22]:[PR3]],2)</f>
        <v>0</v>
      </c>
      <c r="I178" s="109">
        <f>LARGE(Open[[#This Row],[TS SH O 22.02.22]:[PR3]],3)</f>
        <v>0</v>
      </c>
      <c r="J178" s="196">
        <f>RANK(K178,$K$7:$K$361,0)</f>
        <v>166</v>
      </c>
      <c r="K178" s="109">
        <f>SUM(L178:W178)</f>
        <v>44.4</v>
      </c>
      <c r="L178" s="109"/>
      <c r="M178" s="109" t="str">
        <f>IFERROR(VLOOKUP(Open[[#This Row],[TS SH O 23.04.22 Rang]],$AJ$16:$AK$111,2,0)*M$5," ")</f>
        <v xml:space="preserve"> </v>
      </c>
      <c r="N178" s="109" t="str">
        <f>IFERROR(VLOOKUP(Open[[#This Row],[TS LA O 08.05.22 Rang]],$AJ$16:$AK$111,2,0)*N$5," ")</f>
        <v xml:space="preserve"> </v>
      </c>
      <c r="O178" s="109">
        <f>IFERROR(VLOOKUP(Open[[#This Row],[TS SG O 25.05.22 Rang]],$AJ$16:$AK$111,2,0)*O$5," ")</f>
        <v>44.4</v>
      </c>
      <c r="P178" s="109" t="str">
        <f>IFERROR(VLOOKUP(Open[[#This Row],[TS SH O 25.06.22 Rang]],$AJ$16:$AK$111,2,0)*P$5," ")</f>
        <v xml:space="preserve"> </v>
      </c>
      <c r="Q178" s="109" t="str">
        <f>IFERROR(VLOOKUP(Open[[#This Row],[TS ZH O/A 25.06.22 Rang]],$AJ$16:$AK$111,2,0)*Q$5," ")</f>
        <v xml:space="preserve"> </v>
      </c>
      <c r="R178" s="109" t="str">
        <f>IFERROR(VLOOKUP(Open[[#This Row],[TS ZH O/B 25.06.22 Rang]],$AJ$16:$AK$111,2,0)*R$5," ")</f>
        <v xml:space="preserve"> </v>
      </c>
      <c r="S178" s="109" t="str">
        <f>IFERROR(VLOOKUP(Open[[#This Row],[SM BE O/A 09.07.22 Rang]],$AJ$16:$AK$111,2,0)*S$5," ")</f>
        <v xml:space="preserve"> </v>
      </c>
      <c r="T178" s="109" t="str">
        <f>IFERROR(VLOOKUP(Open[[#This Row],[SM BE O/B 09.07.22 Rang]],$AJ$16:$AK$111,2,0)*T$5," ")</f>
        <v xml:space="preserve"> </v>
      </c>
      <c r="U178" s="11">
        <v>0</v>
      </c>
      <c r="V178" s="11">
        <v>0</v>
      </c>
      <c r="W178" s="11">
        <v>0</v>
      </c>
      <c r="X178" s="129"/>
      <c r="Y178" s="191"/>
      <c r="Z178" s="191"/>
      <c r="AA178" s="191">
        <v>18</v>
      </c>
      <c r="AB178" s="191"/>
      <c r="AC178" s="191"/>
      <c r="AD178" s="191"/>
      <c r="AE178" s="191"/>
      <c r="AF178" s="191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BB178" s="4"/>
      <c r="BC178" s="4"/>
      <c r="BD178" s="4"/>
      <c r="BE178" s="4"/>
      <c r="BF178" s="4"/>
      <c r="BG178" s="4"/>
      <c r="BH178" s="4"/>
      <c r="BI178" s="4"/>
    </row>
    <row r="179" spans="1:61" x14ac:dyDescent="0.2">
      <c r="A179" s="86">
        <v>153</v>
      </c>
      <c r="B179" s="11">
        <f>IF(Open[[#This Row],[PR Rang beim letzten Turnier]]&gt;Open[[#This Row],[PR Rang]],1,IF(Open[[#This Row],[PR Rang beim letzten Turnier]]=Open[[#This Row],[PR Rang]],0,-1))</f>
        <v>-1</v>
      </c>
      <c r="C179" s="194">
        <f>RANK(Open[[#This Row],[PR Punkte]],Open[PR Punkte],0)</f>
        <v>166</v>
      </c>
      <c r="D179" s="9" t="s">
        <v>41</v>
      </c>
      <c r="E179" s="11" t="s">
        <v>8</v>
      </c>
      <c r="F179" s="195">
        <f>SUM(Open[[#This Row],[PR 1]:[PR 3]])</f>
        <v>44.4</v>
      </c>
      <c r="G179" s="109">
        <f>LARGE(Open[[#This Row],[TS SH O 22.02.22]:[PR3]],1)</f>
        <v>44.4</v>
      </c>
      <c r="H179" s="109">
        <f>LARGE(Open[[#This Row],[TS SH O 22.02.22]:[PR3]],2)</f>
        <v>0</v>
      </c>
      <c r="I179" s="109">
        <f>LARGE(Open[[#This Row],[TS SH O 22.02.22]:[PR3]],3)</f>
        <v>0</v>
      </c>
      <c r="J179" s="196">
        <f>RANK(K179,$K$7:$K$361,0)</f>
        <v>166</v>
      </c>
      <c r="K179" s="109">
        <f>SUM(L179:W179)</f>
        <v>44.4</v>
      </c>
      <c r="L179" s="109"/>
      <c r="M179" s="109" t="str">
        <f>IFERROR(VLOOKUP(Open[[#This Row],[TS SH O 23.04.22 Rang]],$AJ$16:$AK$111,2,0)*M$5," ")</f>
        <v xml:space="preserve"> </v>
      </c>
      <c r="N179" s="109" t="str">
        <f>IFERROR(VLOOKUP(Open[[#This Row],[TS LA O 08.05.22 Rang]],$AJ$16:$AK$111,2,0)*N$5," ")</f>
        <v xml:space="preserve"> </v>
      </c>
      <c r="O179" s="109">
        <f>IFERROR(VLOOKUP(Open[[#This Row],[TS SG O 25.05.22 Rang]],$AJ$16:$AK$111,2,0)*O$5," ")</f>
        <v>44.4</v>
      </c>
      <c r="P179" s="109" t="str">
        <f>IFERROR(VLOOKUP(Open[[#This Row],[TS SH O 25.06.22 Rang]],$AJ$16:$AK$111,2,0)*P$5," ")</f>
        <v xml:space="preserve"> </v>
      </c>
      <c r="Q179" s="109" t="str">
        <f>IFERROR(VLOOKUP(Open[[#This Row],[TS ZH O/A 25.06.22 Rang]],$AJ$16:$AK$111,2,0)*Q$5," ")</f>
        <v xml:space="preserve"> </v>
      </c>
      <c r="R179" s="109" t="str">
        <f>IFERROR(VLOOKUP(Open[[#This Row],[TS ZH O/B 25.06.22 Rang]],$AJ$16:$AK$111,2,0)*R$5," ")</f>
        <v xml:space="preserve"> </v>
      </c>
      <c r="S179" s="109" t="str">
        <f>IFERROR(VLOOKUP(Open[[#This Row],[SM BE O/A 09.07.22 Rang]],$AJ$16:$AK$111,2,0)*S$5," ")</f>
        <v xml:space="preserve"> </v>
      </c>
      <c r="T179" s="109" t="str">
        <f>IFERROR(VLOOKUP(Open[[#This Row],[SM BE O/B 09.07.22 Rang]],$AJ$16:$AK$111,2,0)*T$5," ")</f>
        <v xml:space="preserve"> </v>
      </c>
      <c r="U179" s="11">
        <v>0</v>
      </c>
      <c r="V179" s="11">
        <v>0</v>
      </c>
      <c r="W179" s="11">
        <v>0</v>
      </c>
      <c r="X179" s="129"/>
      <c r="Y179" s="191"/>
      <c r="Z179" s="191"/>
      <c r="AA179" s="191">
        <v>19</v>
      </c>
      <c r="AB179" s="191"/>
      <c r="AC179" s="191"/>
      <c r="AD179" s="191"/>
      <c r="AE179" s="191"/>
      <c r="AF179" s="191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BB179" s="4"/>
      <c r="BC179" s="4"/>
      <c r="BD179" s="4"/>
      <c r="BE179" s="4"/>
      <c r="BF179" s="4"/>
      <c r="BG179" s="4"/>
      <c r="BH179" s="4"/>
      <c r="BI179" s="4"/>
    </row>
    <row r="180" spans="1:61" x14ac:dyDescent="0.2">
      <c r="A180" s="86">
        <v>153</v>
      </c>
      <c r="B180" s="11">
        <f>IF(Open[[#This Row],[PR Rang beim letzten Turnier]]&gt;Open[[#This Row],[PR Rang]],1,IF(Open[[#This Row],[PR Rang beim letzten Turnier]]=Open[[#This Row],[PR Rang]],0,-1))</f>
        <v>-1</v>
      </c>
      <c r="C180" s="194">
        <f>RANK(Open[[#This Row],[PR Punkte]],Open[PR Punkte],0)</f>
        <v>166</v>
      </c>
      <c r="D180" s="9" t="s">
        <v>576</v>
      </c>
      <c r="E180" s="11" t="s">
        <v>11</v>
      </c>
      <c r="F180" s="195">
        <f>SUM(Open[[#This Row],[PR 1]:[PR 3]])</f>
        <v>44.4</v>
      </c>
      <c r="G180" s="109">
        <f>LARGE(Open[[#This Row],[TS SH O 22.02.22]:[PR3]],1)</f>
        <v>44.4</v>
      </c>
      <c r="H180" s="109">
        <f>LARGE(Open[[#This Row],[TS SH O 22.02.22]:[PR3]],2)</f>
        <v>0</v>
      </c>
      <c r="I180" s="109">
        <f>LARGE(Open[[#This Row],[TS SH O 22.02.22]:[PR3]],3)</f>
        <v>0</v>
      </c>
      <c r="J180" s="196">
        <f>RANK(K180,$K$7:$K$361,0)</f>
        <v>166</v>
      </c>
      <c r="K180" s="109">
        <f>SUM(L180:W180)</f>
        <v>44.4</v>
      </c>
      <c r="L180" s="109"/>
      <c r="M180" s="109" t="str">
        <f>IFERROR(VLOOKUP(Open[[#This Row],[TS SH O 23.04.22 Rang]],$AJ$16:$AK$111,2,0)*M$5," ")</f>
        <v xml:space="preserve"> </v>
      </c>
      <c r="N180" s="109" t="str">
        <f>IFERROR(VLOOKUP(Open[[#This Row],[TS LA O 08.05.22 Rang]],$AJ$16:$AK$111,2,0)*N$5," ")</f>
        <v xml:space="preserve"> </v>
      </c>
      <c r="O180" s="109">
        <f>IFERROR(VLOOKUP(Open[[#This Row],[TS SG O 25.05.22 Rang]],$AJ$16:$AK$111,2,0)*O$5," ")</f>
        <v>44.4</v>
      </c>
      <c r="P180" s="109" t="str">
        <f>IFERROR(VLOOKUP(Open[[#This Row],[TS SH O 25.06.22 Rang]],$AJ$16:$AK$111,2,0)*P$5," ")</f>
        <v xml:space="preserve"> </v>
      </c>
      <c r="Q180" s="109" t="str">
        <f>IFERROR(VLOOKUP(Open[[#This Row],[TS ZH O/A 25.06.22 Rang]],$AJ$16:$AK$111,2,0)*Q$5," ")</f>
        <v xml:space="preserve"> </v>
      </c>
      <c r="R180" s="109" t="str">
        <f>IFERROR(VLOOKUP(Open[[#This Row],[TS ZH O/B 25.06.22 Rang]],$AJ$16:$AK$111,2,0)*R$5," ")</f>
        <v xml:space="preserve"> </v>
      </c>
      <c r="S180" s="109" t="str">
        <f>IFERROR(VLOOKUP(Open[[#This Row],[SM BE O/A 09.07.22 Rang]],$AJ$16:$AK$111,2,0)*S$5," ")</f>
        <v xml:space="preserve"> </v>
      </c>
      <c r="T180" s="109" t="str">
        <f>IFERROR(VLOOKUP(Open[[#This Row],[SM BE O/B 09.07.22 Rang]],$AJ$16:$AK$111,2,0)*T$5," ")</f>
        <v xml:space="preserve"> </v>
      </c>
      <c r="U180" s="11">
        <v>0</v>
      </c>
      <c r="V180" s="11">
        <v>0</v>
      </c>
      <c r="W180" s="11">
        <v>0</v>
      </c>
      <c r="X180" s="129"/>
      <c r="Y180" s="191"/>
      <c r="Z180" s="191"/>
      <c r="AA180" s="191">
        <v>22</v>
      </c>
      <c r="AB180" s="191"/>
      <c r="AC180" s="191"/>
      <c r="AD180" s="191"/>
      <c r="AE180" s="191"/>
      <c r="AF180" s="191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BB180" s="4"/>
      <c r="BC180" s="4"/>
      <c r="BD180" s="4"/>
      <c r="BE180" s="4"/>
      <c r="BF180" s="4"/>
      <c r="BG180" s="4"/>
      <c r="BH180" s="4"/>
      <c r="BI180" s="4"/>
    </row>
    <row r="181" spans="1:61" x14ac:dyDescent="0.2">
      <c r="A181" s="258">
        <v>153</v>
      </c>
      <c r="B181" s="11">
        <f>IF(Open[[#This Row],[PR Rang beim letzten Turnier]]&gt;Open[[#This Row],[PR Rang]],1,IF(Open[[#This Row],[PR Rang beim letzten Turnier]]=Open[[#This Row],[PR Rang]],0,-1))</f>
        <v>-1</v>
      </c>
      <c r="C181" s="259">
        <f>RANK(Open[[#This Row],[PR Punkte]],Open[PR Punkte],0)</f>
        <v>166</v>
      </c>
      <c r="D181" s="264" t="s">
        <v>591</v>
      </c>
      <c r="E181" t="s">
        <v>11</v>
      </c>
      <c r="F181" s="260">
        <f>SUM(Open[[#This Row],[PR 1]:[PR 3]])</f>
        <v>44.4</v>
      </c>
      <c r="G181" s="109">
        <f>LARGE(Open[[#This Row],[TS SH O 22.02.22]:[PR3]],1)</f>
        <v>44.4</v>
      </c>
      <c r="H181" s="109">
        <f>LARGE(Open[[#This Row],[TS SH O 22.02.22]:[PR3]],2)</f>
        <v>0</v>
      </c>
      <c r="I181" s="109">
        <f>LARGE(Open[[#This Row],[TS SH O 22.02.22]:[PR3]],3)</f>
        <v>0</v>
      </c>
      <c r="J181" s="196">
        <f>RANK(K181,$K$7:$K$361,0)</f>
        <v>166</v>
      </c>
      <c r="K181" s="261">
        <f>SUM(L181:W181)</f>
        <v>44.4</v>
      </c>
      <c r="L181" s="261"/>
      <c r="M181" s="261" t="str">
        <f>IFERROR(VLOOKUP(Open[[#This Row],[TS SH O 23.04.22 Rang]],$AJ$16:$AK$111,2,0)*M$5," ")</f>
        <v xml:space="preserve"> </v>
      </c>
      <c r="N181" s="261" t="str">
        <f>IFERROR(VLOOKUP(Open[[#This Row],[TS LA O 08.05.22 Rang]],$AJ$16:$AK$111,2,0)*N$5," ")</f>
        <v xml:space="preserve"> </v>
      </c>
      <c r="O181" s="109" t="str">
        <f>IFERROR(VLOOKUP(Open[[#This Row],[TS SG O 25.05.22 Rang]],$AJ$16:$AK$111,2,0)*O$5," ")</f>
        <v xml:space="preserve"> </v>
      </c>
      <c r="P181" s="109">
        <f>IFERROR(VLOOKUP(Open[[#This Row],[TS SH O 25.06.22 Rang]],$AJ$16:$AK$111,2,0)*P$5," ")</f>
        <v>44.4</v>
      </c>
      <c r="Q181" s="109" t="str">
        <f>IFERROR(VLOOKUP(Open[[#This Row],[TS ZH O/A 25.06.22 Rang]],$AJ$16:$AK$111,2,0)*Q$5," ")</f>
        <v xml:space="preserve"> </v>
      </c>
      <c r="R181" s="109" t="str">
        <f>IFERROR(VLOOKUP(Open[[#This Row],[TS ZH O/B 25.06.22 Rang]],$AJ$16:$AK$111,2,0)*R$5," ")</f>
        <v xml:space="preserve"> </v>
      </c>
      <c r="S181" s="109" t="str">
        <f>IFERROR(VLOOKUP(Open[[#This Row],[SM BE O/A 09.07.22 Rang]],$AJ$16:$AK$111,2,0)*S$5," ")</f>
        <v xml:space="preserve"> </v>
      </c>
      <c r="T181" s="109" t="str">
        <f>IFERROR(VLOOKUP(Open[[#This Row],[SM BE O/B 09.07.22 Rang]],$AJ$16:$AK$111,2,0)*T$5," ")</f>
        <v xml:space="preserve"> </v>
      </c>
      <c r="U181" s="11">
        <v>0</v>
      </c>
      <c r="V181" s="11">
        <v>0</v>
      </c>
      <c r="W181" s="11">
        <v>0</v>
      </c>
      <c r="X181" s="263"/>
      <c r="Y181" s="262"/>
      <c r="Z181" s="262"/>
      <c r="AA181" s="191"/>
      <c r="AB181" s="191">
        <v>20</v>
      </c>
      <c r="AC181" s="191"/>
      <c r="AD181" s="191"/>
      <c r="AE181" s="191"/>
      <c r="AF181" s="191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BB181" s="4"/>
      <c r="BC181" s="4"/>
      <c r="BD181" s="4"/>
      <c r="BE181" s="4"/>
      <c r="BF181" s="4"/>
      <c r="BG181" s="4"/>
      <c r="BH181" s="4"/>
      <c r="BI181" s="4"/>
    </row>
    <row r="182" spans="1:61" x14ac:dyDescent="0.2">
      <c r="A182" s="258">
        <v>153</v>
      </c>
      <c r="B182" s="11">
        <f>IF(Open[[#This Row],[PR Rang beim letzten Turnier]]&gt;Open[[#This Row],[PR Rang]],1,IF(Open[[#This Row],[PR Rang beim letzten Turnier]]=Open[[#This Row],[PR Rang]],0,-1))</f>
        <v>-1</v>
      </c>
      <c r="C182" s="259">
        <f>RANK(Open[[#This Row],[PR Punkte]],Open[PR Punkte],0)</f>
        <v>166</v>
      </c>
      <c r="D182" s="264" t="s">
        <v>593</v>
      </c>
      <c r="E182" t="s">
        <v>11</v>
      </c>
      <c r="F182" s="260">
        <f>SUM(Open[[#This Row],[PR 1]:[PR 3]])</f>
        <v>44.4</v>
      </c>
      <c r="G182" s="109">
        <f>LARGE(Open[[#This Row],[TS SH O 22.02.22]:[PR3]],1)</f>
        <v>44.4</v>
      </c>
      <c r="H182" s="109">
        <f>LARGE(Open[[#This Row],[TS SH O 22.02.22]:[PR3]],2)</f>
        <v>0</v>
      </c>
      <c r="I182" s="109">
        <f>LARGE(Open[[#This Row],[TS SH O 22.02.22]:[PR3]],3)</f>
        <v>0</v>
      </c>
      <c r="J182" s="196">
        <f>RANK(K182,$K$7:$K$361,0)</f>
        <v>166</v>
      </c>
      <c r="K182" s="261">
        <f>SUM(L182:W182)</f>
        <v>44.4</v>
      </c>
      <c r="L182" s="261"/>
      <c r="M182" s="261" t="str">
        <f>IFERROR(VLOOKUP(Open[[#This Row],[TS SH O 23.04.22 Rang]],$AJ$16:$AK$111,2,0)*M$5," ")</f>
        <v xml:space="preserve"> </v>
      </c>
      <c r="N182" s="261" t="str">
        <f>IFERROR(VLOOKUP(Open[[#This Row],[TS LA O 08.05.22 Rang]],$AJ$16:$AK$111,2,0)*N$5," ")</f>
        <v xml:space="preserve"> </v>
      </c>
      <c r="O182" s="109" t="str">
        <f>IFERROR(VLOOKUP(Open[[#This Row],[TS SG O 25.05.22 Rang]],$AJ$16:$AK$111,2,0)*O$5," ")</f>
        <v xml:space="preserve"> </v>
      </c>
      <c r="P182" s="109">
        <f>IFERROR(VLOOKUP(Open[[#This Row],[TS SH O 25.06.22 Rang]],$AJ$16:$AK$111,2,0)*P$5," ")</f>
        <v>44.4</v>
      </c>
      <c r="Q182" s="109" t="str">
        <f>IFERROR(VLOOKUP(Open[[#This Row],[TS ZH O/A 25.06.22 Rang]],$AJ$16:$AK$111,2,0)*Q$5," ")</f>
        <v xml:space="preserve"> </v>
      </c>
      <c r="R182" s="109" t="str">
        <f>IFERROR(VLOOKUP(Open[[#This Row],[TS ZH O/B 25.06.22 Rang]],$AJ$16:$AK$111,2,0)*R$5," ")</f>
        <v xml:space="preserve"> </v>
      </c>
      <c r="S182" s="109" t="str">
        <f>IFERROR(VLOOKUP(Open[[#This Row],[SM BE O/A 09.07.22 Rang]],$AJ$16:$AK$111,2,0)*S$5," ")</f>
        <v xml:space="preserve"> </v>
      </c>
      <c r="T182" s="109" t="str">
        <f>IFERROR(VLOOKUP(Open[[#This Row],[SM BE O/B 09.07.22 Rang]],$AJ$16:$AK$111,2,0)*T$5," ")</f>
        <v xml:space="preserve"> </v>
      </c>
      <c r="U182" s="11">
        <v>0</v>
      </c>
      <c r="V182" s="11">
        <v>0</v>
      </c>
      <c r="W182" s="11">
        <v>0</v>
      </c>
      <c r="X182" s="263"/>
      <c r="Y182" s="262"/>
      <c r="Z182" s="262"/>
      <c r="AA182" s="191"/>
      <c r="AB182" s="191">
        <v>22</v>
      </c>
      <c r="AC182" s="191"/>
      <c r="AD182" s="191"/>
      <c r="AE182" s="191"/>
      <c r="AF182" s="191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BB182" s="4"/>
      <c r="BC182" s="4"/>
      <c r="BD182" s="4"/>
      <c r="BE182" s="4"/>
      <c r="BF182" s="4"/>
      <c r="BG182" s="4"/>
      <c r="BH182" s="4"/>
      <c r="BI182" s="4"/>
    </row>
    <row r="183" spans="1:61" x14ac:dyDescent="0.2">
      <c r="A183" s="86">
        <v>166</v>
      </c>
      <c r="B183" s="11">
        <f>IF(Open[[#This Row],[PR Rang beim letzten Turnier]]&gt;Open[[#This Row],[PR Rang]],1,IF(Open[[#This Row],[PR Rang beim letzten Turnier]]=Open[[#This Row],[PR Rang]],0,-1))</f>
        <v>-1</v>
      </c>
      <c r="C183" s="194">
        <f>RANK(Open[[#This Row],[PR Punkte]],Open[PR Punkte],0)</f>
        <v>177</v>
      </c>
      <c r="D183" s="33" t="s">
        <v>611</v>
      </c>
      <c r="E183" s="11" t="s">
        <v>11</v>
      </c>
      <c r="F183" s="195">
        <f>SUM(Open[[#This Row],[PR 1]:[PR 3]])</f>
        <v>42.599999999999994</v>
      </c>
      <c r="G183" s="109">
        <f>LARGE(Open[[#This Row],[TS SH O 22.02.22]:[PR3]],1)</f>
        <v>42.599999999999994</v>
      </c>
      <c r="H183" s="109">
        <f>LARGE(Open[[#This Row],[TS SH O 22.02.22]:[PR3]],2)</f>
        <v>0</v>
      </c>
      <c r="I183" s="109">
        <f>LARGE(Open[[#This Row],[TS SH O 22.02.22]:[PR3]],3)</f>
        <v>0</v>
      </c>
      <c r="J183" s="196">
        <f>RANK(K183,$K$7:$K$361,0)</f>
        <v>177</v>
      </c>
      <c r="K183" s="109">
        <f>SUM(L183:W183)</f>
        <v>42.599999999999994</v>
      </c>
      <c r="L183" s="109"/>
      <c r="M183" s="109" t="str">
        <f>IFERROR(VLOOKUP(Open[[#This Row],[TS SH O 23.04.22 Rang]],$AJ$16:$AK$111,2,0)*M$5," ")</f>
        <v xml:space="preserve"> </v>
      </c>
      <c r="N183" s="109" t="str">
        <f>IFERROR(VLOOKUP(Open[[#This Row],[TS LA O 08.05.22 Rang]],$AJ$16:$AK$111,2,0)*N$5," ")</f>
        <v xml:space="preserve"> </v>
      </c>
      <c r="O183" s="109" t="str">
        <f>IFERROR(VLOOKUP(Open[[#This Row],[TS SG O 25.05.22 Rang]],$AJ$16:$AK$111,2,0)*O$5," ")</f>
        <v xml:space="preserve"> </v>
      </c>
      <c r="P183" s="109" t="str">
        <f>IFERROR(VLOOKUP(Open[[#This Row],[TS SH O 25.06.22 Rang]],$AJ$16:$AK$111,2,0)*P$5," ")</f>
        <v xml:space="preserve"> </v>
      </c>
      <c r="Q183" s="109">
        <f>IFERROR(VLOOKUP(Open[[#This Row],[TS ZH O/A 25.06.22 Rang]],$AJ$16:$AK$111,2,0)*Q$5," ")</f>
        <v>42.599999999999994</v>
      </c>
      <c r="R183" s="109" t="str">
        <f>IFERROR(VLOOKUP(Open[[#This Row],[TS ZH O/B 25.06.22 Rang]],$AJ$16:$AK$111,2,0)*R$5," ")</f>
        <v xml:space="preserve"> </v>
      </c>
      <c r="S183" s="109" t="str">
        <f>IFERROR(VLOOKUP(Open[[#This Row],[SM BE O/A 09.07.22 Rang]],$AJ$16:$AK$111,2,0)*S$5," ")</f>
        <v xml:space="preserve"> </v>
      </c>
      <c r="T183" s="109" t="str">
        <f>IFERROR(VLOOKUP(Open[[#This Row],[SM BE O/B 09.07.22 Rang]],$AJ$16:$AK$111,2,0)*T$5," ")</f>
        <v xml:space="preserve"> </v>
      </c>
      <c r="U183" s="11">
        <v>0</v>
      </c>
      <c r="V183" s="11">
        <v>0</v>
      </c>
      <c r="W183" s="11">
        <v>0</v>
      </c>
      <c r="X183" s="129"/>
      <c r="Y183" s="191"/>
      <c r="Z183" s="191"/>
      <c r="AA183" s="191"/>
      <c r="AB183" s="191"/>
      <c r="AC183" s="191">
        <v>18</v>
      </c>
      <c r="AD183" s="191"/>
      <c r="AE183" s="191"/>
      <c r="AF183" s="191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BB183" s="4"/>
      <c r="BC183" s="4"/>
      <c r="BD183" s="4"/>
      <c r="BE183" s="4"/>
      <c r="BF183" s="4"/>
      <c r="BG183" s="4"/>
      <c r="BH183" s="4"/>
      <c r="BI183" s="4"/>
    </row>
    <row r="184" spans="1:61" x14ac:dyDescent="0.2">
      <c r="A184" s="86">
        <v>166</v>
      </c>
      <c r="B184" s="11">
        <f>IF(Open[[#This Row],[PR Rang beim letzten Turnier]]&gt;Open[[#This Row],[PR Rang]],1,IF(Open[[#This Row],[PR Rang beim letzten Turnier]]=Open[[#This Row],[PR Rang]],0,-1))</f>
        <v>-1</v>
      </c>
      <c r="C184" s="194">
        <f>RANK(Open[[#This Row],[PR Punkte]],Open[PR Punkte],0)</f>
        <v>177</v>
      </c>
      <c r="D184" s="33" t="s">
        <v>610</v>
      </c>
      <c r="E184" s="11" t="s">
        <v>11</v>
      </c>
      <c r="F184" s="195">
        <f>SUM(Open[[#This Row],[PR 1]:[PR 3]])</f>
        <v>42.599999999999994</v>
      </c>
      <c r="G184" s="109">
        <f>LARGE(Open[[#This Row],[TS SH O 22.02.22]:[PR3]],1)</f>
        <v>42.599999999999994</v>
      </c>
      <c r="H184" s="109">
        <f>LARGE(Open[[#This Row],[TS SH O 22.02.22]:[PR3]],2)</f>
        <v>0</v>
      </c>
      <c r="I184" s="109">
        <f>LARGE(Open[[#This Row],[TS SH O 22.02.22]:[PR3]],3)</f>
        <v>0</v>
      </c>
      <c r="J184" s="196">
        <f>RANK(K184,$K$7:$K$361,0)</f>
        <v>177</v>
      </c>
      <c r="K184" s="109">
        <f>SUM(L184:W184)</f>
        <v>42.599999999999994</v>
      </c>
      <c r="L184" s="109"/>
      <c r="M184" s="109" t="str">
        <f>IFERROR(VLOOKUP(Open[[#This Row],[TS SH O 23.04.22 Rang]],$AJ$16:$AK$111,2,0)*M$5," ")</f>
        <v xml:space="preserve"> </v>
      </c>
      <c r="N184" s="109" t="str">
        <f>IFERROR(VLOOKUP(Open[[#This Row],[TS LA O 08.05.22 Rang]],$AJ$16:$AK$111,2,0)*N$5," ")</f>
        <v xml:space="preserve"> </v>
      </c>
      <c r="O184" s="109" t="str">
        <f>IFERROR(VLOOKUP(Open[[#This Row],[TS SG O 25.05.22 Rang]],$AJ$16:$AK$111,2,0)*O$5," ")</f>
        <v xml:space="preserve"> </v>
      </c>
      <c r="P184" s="109" t="str">
        <f>IFERROR(VLOOKUP(Open[[#This Row],[TS SH O 25.06.22 Rang]],$AJ$16:$AK$111,2,0)*P$5," ")</f>
        <v xml:space="preserve"> </v>
      </c>
      <c r="Q184" s="109">
        <f>IFERROR(VLOOKUP(Open[[#This Row],[TS ZH O/A 25.06.22 Rang]],$AJ$16:$AK$111,2,0)*Q$5," ")</f>
        <v>42.599999999999994</v>
      </c>
      <c r="R184" s="109" t="str">
        <f>IFERROR(VLOOKUP(Open[[#This Row],[TS ZH O/B 25.06.22 Rang]],$AJ$16:$AK$111,2,0)*R$5," ")</f>
        <v xml:space="preserve"> </v>
      </c>
      <c r="S184" s="109" t="str">
        <f>IFERROR(VLOOKUP(Open[[#This Row],[SM BE O/A 09.07.22 Rang]],$AJ$16:$AK$111,2,0)*S$5," ")</f>
        <v xml:space="preserve"> </v>
      </c>
      <c r="T184" s="109" t="str">
        <f>IFERROR(VLOOKUP(Open[[#This Row],[SM BE O/B 09.07.22 Rang]],$AJ$16:$AK$111,2,0)*T$5," ")</f>
        <v xml:space="preserve"> </v>
      </c>
      <c r="U184" s="11">
        <v>0</v>
      </c>
      <c r="V184" s="11">
        <v>0</v>
      </c>
      <c r="W184" s="11">
        <v>0</v>
      </c>
      <c r="X184" s="129"/>
      <c r="Y184" s="191"/>
      <c r="Z184" s="191"/>
      <c r="AA184" s="191"/>
      <c r="AB184" s="191"/>
      <c r="AC184" s="191">
        <v>18</v>
      </c>
      <c r="AD184" s="191"/>
      <c r="AE184" s="191"/>
      <c r="AF184" s="191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BB184" s="4"/>
      <c r="BC184" s="4"/>
      <c r="BD184" s="4"/>
      <c r="BE184" s="4"/>
      <c r="BF184" s="4"/>
      <c r="BG184" s="4"/>
      <c r="BH184" s="4"/>
      <c r="BI184" s="4"/>
    </row>
    <row r="185" spans="1:61" x14ac:dyDescent="0.2">
      <c r="A185" s="11">
        <v>173</v>
      </c>
      <c r="B185" s="86">
        <f>IF(Open[[#This Row],[PR Rang beim letzten Turnier]]&gt;Open[[#This Row],[PR Rang]],1,IF(Open[[#This Row],[PR Rang beim letzten Turnier]]=Open[[#This Row],[PR Rang]],0,-1))</f>
        <v>-1</v>
      </c>
      <c r="C185" s="147">
        <f>RANK(Open[[#This Row],[PR Punkte]],Open[PR Punkte],0)</f>
        <v>179</v>
      </c>
      <c r="D185" s="25" t="s">
        <v>241</v>
      </c>
      <c r="E185" s="31" t="s">
        <v>8</v>
      </c>
      <c r="F185" s="109">
        <f>SUM(Open[[#This Row],[PR 1]:[PR 3]])</f>
        <v>41.6</v>
      </c>
      <c r="G185" s="109">
        <f>LARGE(Open[[#This Row],[TS SH O 22.02.22]:[PR3]],1)</f>
        <v>41.6</v>
      </c>
      <c r="H185" s="109">
        <f>LARGE(Open[[#This Row],[TS SH O 22.02.22]:[PR3]],2)</f>
        <v>0</v>
      </c>
      <c r="I185" s="109">
        <f>LARGE(Open[[#This Row],[TS SH O 22.02.22]:[PR3]],3)</f>
        <v>0</v>
      </c>
      <c r="J185" s="31">
        <f>RANK(K185,$K$7:$K$295,0)</f>
        <v>179</v>
      </c>
      <c r="K185" s="109">
        <f>SUM(L185:W185)</f>
        <v>41.6</v>
      </c>
      <c r="L185" s="109" t="str">
        <f>IFERROR(VLOOKUP(Open[[#This Row],[TS SH 22.02.22 Rang]],$AJ$16:$AK$111,2,0)*L$5," ")</f>
        <v xml:space="preserve"> </v>
      </c>
      <c r="M185" s="109" t="str">
        <f>IFERROR(VLOOKUP(Open[[#This Row],[TS SH O 23.04.22 Rang]],$AJ$16:$AK$111,2,0)*M$5," ")</f>
        <v xml:space="preserve"> </v>
      </c>
      <c r="N185" s="109" t="str">
        <f>IFERROR(VLOOKUP(Open[[#This Row],[TS LA O 08.05.22 Rang]],$AJ$16:$AK$111,2,0)*N$5," ")</f>
        <v xml:space="preserve"> </v>
      </c>
      <c r="O185" s="109" t="str">
        <f>IFERROR(VLOOKUP(Open[[#This Row],[TS SG O 25.05.22 Rang]],$AJ$16:$AK$111,2,0)*O$5," ")</f>
        <v xml:space="preserve"> </v>
      </c>
      <c r="P185" s="109" t="str">
        <f>IFERROR(VLOOKUP(Open[[#This Row],[TS SH O 25.06.22 Rang]],$AJ$16:$AK$111,2,0)*P$5," ")</f>
        <v xml:space="preserve"> </v>
      </c>
      <c r="Q185" s="109" t="str">
        <f>IFERROR(VLOOKUP(Open[[#This Row],[TS ZH O/A 25.06.22 Rang]],$AJ$16:$AK$111,2,0)*Q$5," ")</f>
        <v xml:space="preserve"> </v>
      </c>
      <c r="R185" s="109" t="str">
        <f>IFERROR(VLOOKUP(Open[[#This Row],[TS ZH O/B 25.06.22 Rang]],$AJ$16:$AK$111,2,0)*R$5," ")</f>
        <v xml:space="preserve"> </v>
      </c>
      <c r="S185" s="109">
        <f>IFERROR(VLOOKUP(Open[[#This Row],[SM BE O/A 09.07.22 Rang]],$AJ$16:$AK$111,2,0)*S$5," ")</f>
        <v>41.6</v>
      </c>
      <c r="T185" s="109" t="str">
        <f>IFERROR(VLOOKUP(Open[[#This Row],[SM BE O/B 09.07.22 Rang]],$AJ$16:$AK$111,2,0)*T$5," ")</f>
        <v xml:space="preserve"> </v>
      </c>
      <c r="U185" s="11">
        <v>0</v>
      </c>
      <c r="V185" s="11">
        <v>0</v>
      </c>
      <c r="W185" s="11">
        <v>0</v>
      </c>
      <c r="X185" s="129"/>
      <c r="Y185" s="191"/>
      <c r="Z185" s="191"/>
      <c r="AA185" s="191"/>
      <c r="AB185" s="191"/>
      <c r="AC185" s="191"/>
      <c r="AD185" s="191"/>
      <c r="AE185" s="191">
        <v>34</v>
      </c>
      <c r="AF185" s="191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BB185" s="4"/>
      <c r="BC185" s="4"/>
      <c r="BD185" s="4"/>
      <c r="BE185" s="4"/>
      <c r="BF185" s="4"/>
      <c r="BG185" s="4"/>
      <c r="BH185" s="4"/>
      <c r="BI185" s="4"/>
    </row>
    <row r="186" spans="1:61" x14ac:dyDescent="0.2">
      <c r="A186" s="11">
        <v>173</v>
      </c>
      <c r="B186" s="11">
        <f>IF(Open[[#This Row],[PR Rang beim letzten Turnier]]&gt;Open[[#This Row],[PR Rang]],1,IF(Open[[#This Row],[PR Rang beim letzten Turnier]]=Open[[#This Row],[PR Rang]],0,-1))</f>
        <v>-1</v>
      </c>
      <c r="C186" s="147">
        <f>RANK(Open[[#This Row],[PR Punkte]],Open[PR Punkte],0)</f>
        <v>179</v>
      </c>
      <c r="D186" s="25" t="s">
        <v>267</v>
      </c>
      <c r="E186" s="31" t="s">
        <v>11</v>
      </c>
      <c r="F186" s="109">
        <f>SUM(Open[[#This Row],[PR 1]:[PR 3]])</f>
        <v>41.6</v>
      </c>
      <c r="G186" s="109">
        <f>LARGE(Open[[#This Row],[TS SH O 22.02.22]:[PR3]],1)</f>
        <v>41.6</v>
      </c>
      <c r="H186" s="109">
        <f>LARGE(Open[[#This Row],[TS SH O 22.02.22]:[PR3]],2)</f>
        <v>0</v>
      </c>
      <c r="I186" s="109">
        <f>LARGE(Open[[#This Row],[TS SH O 22.02.22]:[PR3]],3)</f>
        <v>0</v>
      </c>
      <c r="J186" s="31">
        <f>RANK(K186,$K$7:$K$295,0)</f>
        <v>179</v>
      </c>
      <c r="K186" s="109">
        <f>SUM(L186:W186)</f>
        <v>41.6</v>
      </c>
      <c r="L186" s="109" t="str">
        <f>IFERROR(VLOOKUP(Open[[#This Row],[TS SH 22.02.22 Rang]],$AJ$16:$AK$111,2,0)*L$5," ")</f>
        <v xml:space="preserve"> </v>
      </c>
      <c r="M186" s="109" t="str">
        <f>IFERROR(VLOOKUP(Open[[#This Row],[TS SH O 23.04.22 Rang]],$AJ$16:$AK$111,2,0)*M$5," ")</f>
        <v xml:space="preserve"> </v>
      </c>
      <c r="N186" s="109" t="str">
        <f>IFERROR(VLOOKUP(Open[[#This Row],[TS LA O 08.05.22 Rang]],$AJ$16:$AK$111,2,0)*N$5," ")</f>
        <v xml:space="preserve"> </v>
      </c>
      <c r="O186" s="109" t="str">
        <f>IFERROR(VLOOKUP(Open[[#This Row],[TS SG O 25.05.22 Rang]],$AJ$16:$AK$111,2,0)*O$5," ")</f>
        <v xml:space="preserve"> </v>
      </c>
      <c r="P186" s="109" t="str">
        <f>IFERROR(VLOOKUP(Open[[#This Row],[TS SH O 25.06.22 Rang]],$AJ$16:$AK$111,2,0)*P$5," ")</f>
        <v xml:space="preserve"> </v>
      </c>
      <c r="Q186" s="109" t="str">
        <f>IFERROR(VLOOKUP(Open[[#This Row],[TS ZH O/A 25.06.22 Rang]],$AJ$16:$AK$111,2,0)*Q$5," ")</f>
        <v xml:space="preserve"> </v>
      </c>
      <c r="R186" s="109" t="str">
        <f>IFERROR(VLOOKUP(Open[[#This Row],[TS ZH O/B 25.06.22 Rang]],$AJ$16:$AK$111,2,0)*R$5," ")</f>
        <v xml:space="preserve"> </v>
      </c>
      <c r="S186" s="109">
        <f>IFERROR(VLOOKUP(Open[[#This Row],[SM BE O/A 09.07.22 Rang]],$AJ$16:$AK$111,2,0)*S$5," ")</f>
        <v>41.6</v>
      </c>
      <c r="T186" s="109" t="str">
        <f>IFERROR(VLOOKUP(Open[[#This Row],[SM BE O/B 09.07.22 Rang]],$AJ$16:$AK$111,2,0)*T$5," ")</f>
        <v xml:space="preserve"> </v>
      </c>
      <c r="U186" s="11">
        <v>0</v>
      </c>
      <c r="V186" s="11">
        <v>0</v>
      </c>
      <c r="W186" s="11">
        <v>0</v>
      </c>
      <c r="X186" s="129"/>
      <c r="Y186" s="191"/>
      <c r="Z186" s="191"/>
      <c r="AA186" s="191"/>
      <c r="AB186" s="191"/>
      <c r="AC186" s="191"/>
      <c r="AD186" s="191"/>
      <c r="AE186" s="191">
        <v>33</v>
      </c>
      <c r="AF186" s="191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BB186" s="4"/>
      <c r="BC186" s="4"/>
      <c r="BD186" s="4"/>
      <c r="BE186" s="4"/>
      <c r="BF186" s="4"/>
      <c r="BG186" s="4"/>
      <c r="BH186" s="4"/>
      <c r="BI186" s="4"/>
    </row>
    <row r="187" spans="1:61" x14ac:dyDescent="0.2">
      <c r="A187" s="86">
        <v>173</v>
      </c>
      <c r="B187" s="11">
        <f>IF(Open[[#This Row],[PR Rang beim letzten Turnier]]&gt;Open[[#This Row],[PR Rang]],1,IF(Open[[#This Row],[PR Rang beim letzten Turnier]]=Open[[#This Row],[PR Rang]],0,-1))</f>
        <v>-1</v>
      </c>
      <c r="C187" s="194">
        <f>RANK(Open[[#This Row],[PR Punkte]],Open[PR Punkte],0)</f>
        <v>179</v>
      </c>
      <c r="D187" s="9" t="s">
        <v>637</v>
      </c>
      <c r="E187" s="11" t="s">
        <v>11</v>
      </c>
      <c r="F187" s="195">
        <f>SUM(Open[[#This Row],[PR 1]:[PR 3]])</f>
        <v>41.6</v>
      </c>
      <c r="G187" s="109">
        <f>LARGE(Open[[#This Row],[TS SH O 22.02.22]:[PR3]],1)</f>
        <v>41.6</v>
      </c>
      <c r="H187" s="109">
        <f>LARGE(Open[[#This Row],[TS SH O 22.02.22]:[PR3]],2)</f>
        <v>0</v>
      </c>
      <c r="I187" s="109">
        <f>LARGE(Open[[#This Row],[TS SH O 22.02.22]:[PR3]],3)</f>
        <v>0</v>
      </c>
      <c r="J187" s="196">
        <f>RANK(K187,$K$7:$K$361,0)</f>
        <v>179</v>
      </c>
      <c r="K187" s="109">
        <f>SUM(L187:W187)</f>
        <v>41.6</v>
      </c>
      <c r="L187" s="109"/>
      <c r="M187" s="109" t="str">
        <f>IFERROR(VLOOKUP(Open[[#This Row],[TS SH O 23.04.22 Rang]],$AJ$16:$AK$111,2,0)*M$5," ")</f>
        <v xml:space="preserve"> </v>
      </c>
      <c r="N187" s="109" t="str">
        <f>IFERROR(VLOOKUP(Open[[#This Row],[TS LA O 08.05.22 Rang]],$AJ$16:$AK$111,2,0)*N$5," ")</f>
        <v xml:space="preserve"> </v>
      </c>
      <c r="O187" s="109" t="str">
        <f>IFERROR(VLOOKUP(Open[[#This Row],[TS SG O 25.05.22 Rang]],$AJ$16:$AK$111,2,0)*O$5," ")</f>
        <v xml:space="preserve"> </v>
      </c>
      <c r="P187" s="109" t="str">
        <f>IFERROR(VLOOKUP(Open[[#This Row],[TS SH O 25.06.22 Rang]],$AJ$16:$AK$111,2,0)*P$5," ")</f>
        <v xml:space="preserve"> </v>
      </c>
      <c r="Q187" s="109" t="str">
        <f>IFERROR(VLOOKUP(Open[[#This Row],[TS ZH O/A 25.06.22 Rang]],$AJ$16:$AK$111,2,0)*Q$5," ")</f>
        <v xml:space="preserve"> </v>
      </c>
      <c r="R187" s="109" t="str">
        <f>IFERROR(VLOOKUP(Open[[#This Row],[TS ZH O/B 25.06.22 Rang]],$AJ$16:$AK$111,2,0)*R$5," ")</f>
        <v xml:space="preserve"> </v>
      </c>
      <c r="S187" s="109">
        <f>IFERROR(VLOOKUP(Open[[#This Row],[SM BE O/A 09.07.22 Rang]],$AJ$16:$AK$111,2,0)*S$5," ")</f>
        <v>41.6</v>
      </c>
      <c r="T187" s="109" t="str">
        <f>IFERROR(VLOOKUP(Open[[#This Row],[SM BE O/B 09.07.22 Rang]],$AJ$16:$AK$111,2,0)*T$5," ")</f>
        <v xml:space="preserve"> </v>
      </c>
      <c r="U187" s="11">
        <v>0</v>
      </c>
      <c r="V187" s="11">
        <v>0</v>
      </c>
      <c r="W187" s="11">
        <v>0</v>
      </c>
      <c r="X187" s="129"/>
      <c r="Y187" s="191"/>
      <c r="Z187" s="191"/>
      <c r="AA187" s="191"/>
      <c r="AB187" s="191"/>
      <c r="AC187" s="191"/>
      <c r="AD187" s="191"/>
      <c r="AE187" s="191">
        <v>34</v>
      </c>
      <c r="AF187" s="191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BB187" s="4"/>
      <c r="BC187" s="4"/>
      <c r="BD187" s="4"/>
      <c r="BE187" s="4"/>
      <c r="BF187" s="4"/>
      <c r="BG187" s="4"/>
      <c r="BH187" s="4"/>
      <c r="BI187" s="4"/>
    </row>
    <row r="188" spans="1:61" x14ac:dyDescent="0.2">
      <c r="A188" s="86">
        <v>173</v>
      </c>
      <c r="B188" s="11">
        <f>IF(Open[[#This Row],[PR Rang beim letzten Turnier]]&gt;Open[[#This Row],[PR Rang]],1,IF(Open[[#This Row],[PR Rang beim letzten Turnier]]=Open[[#This Row],[PR Rang]],0,-1))</f>
        <v>-1</v>
      </c>
      <c r="C188" s="194">
        <f>RANK(Open[[#This Row],[PR Punkte]],Open[PR Punkte],0)</f>
        <v>179</v>
      </c>
      <c r="D188" s="9" t="s">
        <v>638</v>
      </c>
      <c r="E188" s="11" t="s">
        <v>8</v>
      </c>
      <c r="F188" s="195">
        <f>SUM(Open[[#This Row],[PR 1]:[PR 3]])</f>
        <v>41.6</v>
      </c>
      <c r="G188" s="109">
        <f>LARGE(Open[[#This Row],[TS SH O 22.02.22]:[PR3]],1)</f>
        <v>41.6</v>
      </c>
      <c r="H188" s="109">
        <f>LARGE(Open[[#This Row],[TS SH O 22.02.22]:[PR3]],2)</f>
        <v>0</v>
      </c>
      <c r="I188" s="109">
        <f>LARGE(Open[[#This Row],[TS SH O 22.02.22]:[PR3]],3)</f>
        <v>0</v>
      </c>
      <c r="J188" s="196">
        <f>RANK(K188,$K$7:$K$361,0)</f>
        <v>179</v>
      </c>
      <c r="K188" s="109">
        <f>SUM(L188:W188)</f>
        <v>41.6</v>
      </c>
      <c r="L188" s="109"/>
      <c r="M188" s="109" t="str">
        <f>IFERROR(VLOOKUP(Open[[#This Row],[TS SH O 23.04.22 Rang]],$AJ$16:$AK$111,2,0)*M$5," ")</f>
        <v xml:space="preserve"> </v>
      </c>
      <c r="N188" s="109" t="str">
        <f>IFERROR(VLOOKUP(Open[[#This Row],[TS LA O 08.05.22 Rang]],$AJ$16:$AK$111,2,0)*N$5," ")</f>
        <v xml:space="preserve"> </v>
      </c>
      <c r="O188" s="109" t="str">
        <f>IFERROR(VLOOKUP(Open[[#This Row],[TS SG O 25.05.22 Rang]],$AJ$16:$AK$111,2,0)*O$5," ")</f>
        <v xml:space="preserve"> </v>
      </c>
      <c r="P188" s="109" t="str">
        <f>IFERROR(VLOOKUP(Open[[#This Row],[TS SH O 25.06.22 Rang]],$AJ$16:$AK$111,2,0)*P$5," ")</f>
        <v xml:space="preserve"> </v>
      </c>
      <c r="Q188" s="109" t="str">
        <f>IFERROR(VLOOKUP(Open[[#This Row],[TS ZH O/A 25.06.22 Rang]],$AJ$16:$AK$111,2,0)*Q$5," ")</f>
        <v xml:space="preserve"> </v>
      </c>
      <c r="R188" s="109" t="str">
        <f>IFERROR(VLOOKUP(Open[[#This Row],[TS ZH O/B 25.06.22 Rang]],$AJ$16:$AK$111,2,0)*R$5," ")</f>
        <v xml:space="preserve"> </v>
      </c>
      <c r="S188" s="109">
        <f>IFERROR(VLOOKUP(Open[[#This Row],[SM BE O/A 09.07.22 Rang]],$AJ$16:$AK$111,2,0)*S$5," ")</f>
        <v>41.6</v>
      </c>
      <c r="T188" s="109" t="str">
        <f>IFERROR(VLOOKUP(Open[[#This Row],[SM BE O/B 09.07.22 Rang]],$AJ$16:$AK$111,2,0)*T$5," ")</f>
        <v xml:space="preserve"> </v>
      </c>
      <c r="U188" s="11">
        <v>0</v>
      </c>
      <c r="V188" s="11">
        <v>0</v>
      </c>
      <c r="W188" s="11">
        <v>0</v>
      </c>
      <c r="X188" s="129"/>
      <c r="Y188" s="191"/>
      <c r="Z188" s="191"/>
      <c r="AA188" s="191"/>
      <c r="AB188" s="191"/>
      <c r="AC188" s="191"/>
      <c r="AD188" s="191"/>
      <c r="AE188" s="191">
        <v>34</v>
      </c>
      <c r="AF188" s="191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BB188" s="4"/>
      <c r="BC188" s="4"/>
      <c r="BD188" s="4"/>
      <c r="BE188" s="4"/>
      <c r="BF188" s="4"/>
      <c r="BG188" s="4"/>
      <c r="BH188" s="4"/>
      <c r="BI188" s="4"/>
    </row>
    <row r="189" spans="1:61" x14ac:dyDescent="0.2">
      <c r="A189" s="86">
        <v>173</v>
      </c>
      <c r="B189" s="11">
        <f>IF(Open[[#This Row],[PR Rang beim letzten Turnier]]&gt;Open[[#This Row],[PR Rang]],1,IF(Open[[#This Row],[PR Rang beim letzten Turnier]]=Open[[#This Row],[PR Rang]],0,-1))</f>
        <v>-1</v>
      </c>
      <c r="C189" s="194">
        <f>RANK(Open[[#This Row],[PR Punkte]],Open[PR Punkte],0)</f>
        <v>179</v>
      </c>
      <c r="D189" s="9" t="s">
        <v>639</v>
      </c>
      <c r="E189" s="11" t="s">
        <v>11</v>
      </c>
      <c r="F189" s="195">
        <f>SUM(Open[[#This Row],[PR 1]:[PR 3]])</f>
        <v>41.6</v>
      </c>
      <c r="G189" s="109">
        <f>LARGE(Open[[#This Row],[TS SH O 22.02.22]:[PR3]],1)</f>
        <v>41.6</v>
      </c>
      <c r="H189" s="109">
        <f>LARGE(Open[[#This Row],[TS SH O 22.02.22]:[PR3]],2)</f>
        <v>0</v>
      </c>
      <c r="I189" s="109">
        <f>LARGE(Open[[#This Row],[TS SH O 22.02.22]:[PR3]],3)</f>
        <v>0</v>
      </c>
      <c r="J189" s="196">
        <f>RANK(K189,$K$7:$K$361,0)</f>
        <v>179</v>
      </c>
      <c r="K189" s="109">
        <f>SUM(L189:W189)</f>
        <v>41.6</v>
      </c>
      <c r="L189" s="109"/>
      <c r="M189" s="109" t="str">
        <f>IFERROR(VLOOKUP(Open[[#This Row],[TS SH O 23.04.22 Rang]],$AJ$16:$AK$111,2,0)*M$5," ")</f>
        <v xml:space="preserve"> </v>
      </c>
      <c r="N189" s="109" t="str">
        <f>IFERROR(VLOOKUP(Open[[#This Row],[TS LA O 08.05.22 Rang]],$AJ$16:$AK$111,2,0)*N$5," ")</f>
        <v xml:space="preserve"> </v>
      </c>
      <c r="O189" s="109" t="str">
        <f>IFERROR(VLOOKUP(Open[[#This Row],[TS SG O 25.05.22 Rang]],$AJ$16:$AK$111,2,0)*O$5," ")</f>
        <v xml:space="preserve"> </v>
      </c>
      <c r="P189" s="109" t="str">
        <f>IFERROR(VLOOKUP(Open[[#This Row],[TS SH O 25.06.22 Rang]],$AJ$16:$AK$111,2,0)*P$5," ")</f>
        <v xml:space="preserve"> </v>
      </c>
      <c r="Q189" s="109" t="str">
        <f>IFERROR(VLOOKUP(Open[[#This Row],[TS ZH O/A 25.06.22 Rang]],$AJ$16:$AK$111,2,0)*Q$5," ")</f>
        <v xml:space="preserve"> </v>
      </c>
      <c r="R189" s="109" t="str">
        <f>IFERROR(VLOOKUP(Open[[#This Row],[TS ZH O/B 25.06.22 Rang]],$AJ$16:$AK$111,2,0)*R$5," ")</f>
        <v xml:space="preserve"> </v>
      </c>
      <c r="S189" s="109">
        <f>IFERROR(VLOOKUP(Open[[#This Row],[SM BE O/A 09.07.22 Rang]],$AJ$16:$AK$111,2,0)*S$5," ")</f>
        <v>41.6</v>
      </c>
      <c r="T189" s="109" t="str">
        <f>IFERROR(VLOOKUP(Open[[#This Row],[SM BE O/B 09.07.22 Rang]],$AJ$16:$AK$111,2,0)*T$5," ")</f>
        <v xml:space="preserve"> </v>
      </c>
      <c r="U189" s="11">
        <v>0</v>
      </c>
      <c r="V189" s="11">
        <v>0</v>
      </c>
      <c r="W189" s="11">
        <v>0</v>
      </c>
      <c r="X189" s="129"/>
      <c r="Y189" s="191"/>
      <c r="Z189" s="191"/>
      <c r="AA189" s="191"/>
      <c r="AB189" s="191"/>
      <c r="AC189" s="191"/>
      <c r="AD189" s="191"/>
      <c r="AE189" s="191">
        <v>33</v>
      </c>
      <c r="AF189" s="191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BB189" s="4"/>
      <c r="BC189" s="4"/>
      <c r="BD189" s="4"/>
      <c r="BE189" s="4"/>
      <c r="BF189" s="4"/>
      <c r="BG189" s="4"/>
      <c r="BH189" s="4"/>
      <c r="BI189" s="4"/>
    </row>
    <row r="190" spans="1:61" x14ac:dyDescent="0.2">
      <c r="A190" s="86">
        <v>171</v>
      </c>
      <c r="B190" s="11">
        <f>IF(Open[[#This Row],[PR Rang beim letzten Turnier]]&gt;Open[[#This Row],[PR Rang]],1,IF(Open[[#This Row],[PR Rang beim letzten Turnier]]=Open[[#This Row],[PR Rang]],0,-1))</f>
        <v>-1</v>
      </c>
      <c r="C190" s="194">
        <f>RANK(Open[[#This Row],[PR Punkte]],Open[PR Punkte],0)</f>
        <v>184</v>
      </c>
      <c r="D190" s="33" t="s">
        <v>619</v>
      </c>
      <c r="E190" s="11" t="s">
        <v>11</v>
      </c>
      <c r="F190" s="195">
        <f>SUM(Open[[#This Row],[PR 1]:[PR 3]])</f>
        <v>34.5</v>
      </c>
      <c r="G190" s="109">
        <f>LARGE(Open[[#This Row],[TS SH O 22.02.22]:[PR3]],1)</f>
        <v>24.5</v>
      </c>
      <c r="H190" s="109">
        <f>LARGE(Open[[#This Row],[TS SH O 22.02.22]:[PR3]],2)</f>
        <v>10</v>
      </c>
      <c r="I190" s="109">
        <f>LARGE(Open[[#This Row],[TS SH O 22.02.22]:[PR3]],3)</f>
        <v>0</v>
      </c>
      <c r="J190" s="196">
        <f>RANK(K190,$K$7:$K$361,0)</f>
        <v>184</v>
      </c>
      <c r="K190" s="109">
        <f>SUM(L190:W190)</f>
        <v>34.5</v>
      </c>
      <c r="L190" s="109"/>
      <c r="M190" s="109" t="str">
        <f>IFERROR(VLOOKUP(Open[[#This Row],[TS SH O 23.04.22 Rang]],$AJ$16:$AK$111,2,0)*M$5," ")</f>
        <v xml:space="preserve"> </v>
      </c>
      <c r="N190" s="109" t="str">
        <f>IFERROR(VLOOKUP(Open[[#This Row],[TS LA O 08.05.22 Rang]],$AJ$16:$AK$111,2,0)*N$5," ")</f>
        <v xml:space="preserve"> </v>
      </c>
      <c r="O190" s="109" t="str">
        <f>IFERROR(VLOOKUP(Open[[#This Row],[TS SG O 25.05.22 Rang]],$AJ$16:$AK$111,2,0)*O$5," ")</f>
        <v xml:space="preserve"> </v>
      </c>
      <c r="P190" s="109" t="str">
        <f>IFERROR(VLOOKUP(Open[[#This Row],[TS SH O 25.06.22 Rang]],$AJ$16:$AK$111,2,0)*P$5," ")</f>
        <v xml:space="preserve"> </v>
      </c>
      <c r="Q190" s="109" t="str">
        <f>IFERROR(VLOOKUP(Open[[#This Row],[TS ZH O/A 25.06.22 Rang]],$AJ$16:$AK$111,2,0)*Q$5," ")</f>
        <v xml:space="preserve"> </v>
      </c>
      <c r="R190" s="109">
        <f>IFERROR(VLOOKUP(Open[[#This Row],[TS ZH O/B 25.06.22 Rang]],$AJ$16:$AK$111,2,0)*R$5," ")</f>
        <v>24.5</v>
      </c>
      <c r="S190" s="109" t="str">
        <f>IFERROR(VLOOKUP(Open[[#This Row],[SM BE O/A 09.07.22 Rang]],$AJ$16:$AK$111,2,0)*S$5," ")</f>
        <v xml:space="preserve"> </v>
      </c>
      <c r="T190" s="109">
        <f>IFERROR(VLOOKUP(Open[[#This Row],[SM BE O/B 09.07.22 Rang]],$AJ$16:$AK$111,2,0)*T$5," ")</f>
        <v>10</v>
      </c>
      <c r="U190" s="11">
        <v>0</v>
      </c>
      <c r="V190" s="11">
        <v>0</v>
      </c>
      <c r="W190" s="11">
        <v>0</v>
      </c>
      <c r="X190" s="129"/>
      <c r="Y190" s="191"/>
      <c r="Z190" s="191"/>
      <c r="AA190" s="191"/>
      <c r="AB190" s="191"/>
      <c r="AC190" s="191"/>
      <c r="AD190" s="191">
        <v>6</v>
      </c>
      <c r="AE190" s="191"/>
      <c r="AF190" s="191">
        <v>13</v>
      </c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BB190" s="4"/>
      <c r="BC190" s="4"/>
      <c r="BD190" s="4"/>
      <c r="BE190" s="4"/>
      <c r="BF190" s="4"/>
      <c r="BG190" s="4"/>
      <c r="BH190" s="4"/>
      <c r="BI190" s="4"/>
    </row>
    <row r="191" spans="1:61" x14ac:dyDescent="0.2">
      <c r="A191" s="86">
        <v>171</v>
      </c>
      <c r="B191" s="11">
        <f>IF(Open[[#This Row],[PR Rang beim letzten Turnier]]&gt;Open[[#This Row],[PR Rang]],1,IF(Open[[#This Row],[PR Rang beim letzten Turnier]]=Open[[#This Row],[PR Rang]],0,-1))</f>
        <v>-1</v>
      </c>
      <c r="C191" s="194">
        <f>RANK(Open[[#This Row],[PR Punkte]],Open[PR Punkte],0)</f>
        <v>184</v>
      </c>
      <c r="D191" s="33" t="s">
        <v>620</v>
      </c>
      <c r="E191" s="11" t="s">
        <v>11</v>
      </c>
      <c r="F191" s="195">
        <f>SUM(Open[[#This Row],[PR 1]:[PR 3]])</f>
        <v>34.5</v>
      </c>
      <c r="G191" s="109">
        <f>LARGE(Open[[#This Row],[TS SH O 22.02.22]:[PR3]],1)</f>
        <v>24.5</v>
      </c>
      <c r="H191" s="109">
        <f>LARGE(Open[[#This Row],[TS SH O 22.02.22]:[PR3]],2)</f>
        <v>10</v>
      </c>
      <c r="I191" s="109">
        <f>LARGE(Open[[#This Row],[TS SH O 22.02.22]:[PR3]],3)</f>
        <v>0</v>
      </c>
      <c r="J191" s="196">
        <f>RANK(K191,$K$7:$K$361,0)</f>
        <v>184</v>
      </c>
      <c r="K191" s="109">
        <f>SUM(L191:W191)</f>
        <v>34.5</v>
      </c>
      <c r="L191" s="109"/>
      <c r="M191" s="109" t="str">
        <f>IFERROR(VLOOKUP(Open[[#This Row],[TS SH O 23.04.22 Rang]],$AJ$16:$AK$111,2,0)*M$5," ")</f>
        <v xml:space="preserve"> </v>
      </c>
      <c r="N191" s="109" t="str">
        <f>IFERROR(VLOOKUP(Open[[#This Row],[TS LA O 08.05.22 Rang]],$AJ$16:$AK$111,2,0)*N$5," ")</f>
        <v xml:space="preserve"> </v>
      </c>
      <c r="O191" s="109" t="str">
        <f>IFERROR(VLOOKUP(Open[[#This Row],[TS SG O 25.05.22 Rang]],$AJ$16:$AK$111,2,0)*O$5," ")</f>
        <v xml:space="preserve"> </v>
      </c>
      <c r="P191" s="109" t="str">
        <f>IFERROR(VLOOKUP(Open[[#This Row],[TS SH O 25.06.22 Rang]],$AJ$16:$AK$111,2,0)*P$5," ")</f>
        <v xml:space="preserve"> </v>
      </c>
      <c r="Q191" s="109" t="str">
        <f>IFERROR(VLOOKUP(Open[[#This Row],[TS ZH O/A 25.06.22 Rang]],$AJ$16:$AK$111,2,0)*Q$5," ")</f>
        <v xml:space="preserve"> </v>
      </c>
      <c r="R191" s="109">
        <f>IFERROR(VLOOKUP(Open[[#This Row],[TS ZH O/B 25.06.22 Rang]],$AJ$16:$AK$111,2,0)*R$5," ")</f>
        <v>24.5</v>
      </c>
      <c r="S191" s="109" t="str">
        <f>IFERROR(VLOOKUP(Open[[#This Row],[SM BE O/A 09.07.22 Rang]],$AJ$16:$AK$111,2,0)*S$5," ")</f>
        <v xml:space="preserve"> </v>
      </c>
      <c r="T191" s="109">
        <f>IFERROR(VLOOKUP(Open[[#This Row],[SM BE O/B 09.07.22 Rang]],$AJ$16:$AK$111,2,0)*T$5," ")</f>
        <v>10</v>
      </c>
      <c r="U191" s="11">
        <v>0</v>
      </c>
      <c r="V191" s="11">
        <v>0</v>
      </c>
      <c r="W191" s="11">
        <v>0</v>
      </c>
      <c r="X191" s="129"/>
      <c r="Y191" s="191"/>
      <c r="Z191" s="191"/>
      <c r="AA191" s="191"/>
      <c r="AB191" s="191"/>
      <c r="AC191" s="191"/>
      <c r="AD191" s="191">
        <v>6</v>
      </c>
      <c r="AE191" s="191"/>
      <c r="AF191" s="191">
        <v>13</v>
      </c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BB191" s="4"/>
      <c r="BC191" s="4"/>
      <c r="BD191" s="4"/>
      <c r="BE191" s="4"/>
      <c r="BF191" s="4"/>
      <c r="BG191" s="4"/>
      <c r="BH191" s="4"/>
      <c r="BI191" s="4"/>
    </row>
    <row r="192" spans="1:61" x14ac:dyDescent="0.2">
      <c r="A192" s="86">
        <v>173</v>
      </c>
      <c r="B192" s="11">
        <f>IF(Open[[#This Row],[PR Rang beim letzten Turnier]]&gt;Open[[#This Row],[PR Rang]],1,IF(Open[[#This Row],[PR Rang beim letzten Turnier]]=Open[[#This Row],[PR Rang]],0,-1))</f>
        <v>-1</v>
      </c>
      <c r="C192" s="194">
        <f>RANK(Open[[#This Row],[PR Punkte]],Open[PR Punkte],0)</f>
        <v>186</v>
      </c>
      <c r="D192" s="33" t="s">
        <v>647</v>
      </c>
      <c r="E192" s="11" t="s">
        <v>10</v>
      </c>
      <c r="F192" s="195">
        <f>SUM(Open[[#This Row],[PR 1]:[PR 3]])</f>
        <v>29</v>
      </c>
      <c r="G192" s="109">
        <f>LARGE(Open[[#This Row],[TS SH O 22.02.22]:[PR3]],1)</f>
        <v>29</v>
      </c>
      <c r="H192" s="109">
        <f>LARGE(Open[[#This Row],[TS SH O 22.02.22]:[PR3]],2)</f>
        <v>0</v>
      </c>
      <c r="I192" s="109">
        <f>LARGE(Open[[#This Row],[TS SH O 22.02.22]:[PR3]],3)</f>
        <v>0</v>
      </c>
      <c r="J192" s="196">
        <f>RANK(K192,$K$7:$K$361,0)</f>
        <v>186</v>
      </c>
      <c r="K192" s="109">
        <f>SUM(L192:W192)</f>
        <v>29</v>
      </c>
      <c r="L192" s="109"/>
      <c r="M192" s="109" t="str">
        <f>IFERROR(VLOOKUP(Open[[#This Row],[TS SH O 23.04.22 Rang]],$AJ$16:$AK$111,2,0)*M$5," ")</f>
        <v xml:space="preserve"> </v>
      </c>
      <c r="N192" s="109" t="str">
        <f>IFERROR(VLOOKUP(Open[[#This Row],[TS LA O 08.05.22 Rang]],$AJ$16:$AK$111,2,0)*N$5," ")</f>
        <v xml:space="preserve"> </v>
      </c>
      <c r="O192" s="109" t="str">
        <f>IFERROR(VLOOKUP(Open[[#This Row],[TS SG O 25.05.22 Rang]],$AJ$16:$AK$111,2,0)*O$5," ")</f>
        <v xml:space="preserve"> </v>
      </c>
      <c r="P192" s="109" t="str">
        <f>IFERROR(VLOOKUP(Open[[#This Row],[TS SH O 25.06.22 Rang]],$AJ$16:$AK$111,2,0)*P$5," ")</f>
        <v xml:space="preserve"> </v>
      </c>
      <c r="Q192" s="109" t="str">
        <f>IFERROR(VLOOKUP(Open[[#This Row],[TS ZH O/A 25.06.22 Rang]],$AJ$16:$AK$111,2,0)*Q$5," ")</f>
        <v xml:space="preserve"> </v>
      </c>
      <c r="R192" s="109" t="str">
        <f>IFERROR(VLOOKUP(Open[[#This Row],[TS ZH O/B 25.06.22 Rang]],$AJ$16:$AK$111,2,0)*R$5," ")</f>
        <v xml:space="preserve"> </v>
      </c>
      <c r="S192" s="109" t="str">
        <f>IFERROR(VLOOKUP(Open[[#This Row],[SM BE O/A 09.07.22 Rang]],$AJ$16:$AK$111,2,0)*S$5," ")</f>
        <v xml:space="preserve"> </v>
      </c>
      <c r="T192" s="109">
        <f>IFERROR(VLOOKUP(Open[[#This Row],[SM BE O/B 09.07.22 Rang]],$AJ$16:$AK$111,2,0)*T$5," ")</f>
        <v>29</v>
      </c>
      <c r="U192" s="11">
        <v>0</v>
      </c>
      <c r="V192" s="11">
        <v>0</v>
      </c>
      <c r="W192" s="11">
        <v>0</v>
      </c>
      <c r="X192" s="129"/>
      <c r="Y192" s="191"/>
      <c r="Z192" s="191"/>
      <c r="AA192" s="191"/>
      <c r="AB192" s="191"/>
      <c r="AC192" s="191"/>
      <c r="AD192" s="191"/>
      <c r="AE192" s="191"/>
      <c r="AF192" s="191">
        <v>5</v>
      </c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BB192" s="4"/>
      <c r="BC192" s="4"/>
      <c r="BD192" s="4"/>
      <c r="BE192" s="4"/>
      <c r="BF192" s="4"/>
      <c r="BG192" s="4"/>
      <c r="BH192" s="4"/>
      <c r="BI192" s="4"/>
    </row>
    <row r="193" spans="1:61" x14ac:dyDescent="0.2">
      <c r="A193" s="86">
        <v>173</v>
      </c>
      <c r="B193" s="11">
        <f>IF(Open[[#This Row],[PR Rang beim letzten Turnier]]&gt;Open[[#This Row],[PR Rang]],1,IF(Open[[#This Row],[PR Rang beim letzten Turnier]]=Open[[#This Row],[PR Rang]],0,-1))</f>
        <v>-1</v>
      </c>
      <c r="C193" s="194">
        <f>RANK(Open[[#This Row],[PR Punkte]],Open[PR Punkte],0)</f>
        <v>186</v>
      </c>
      <c r="D193" s="33" t="s">
        <v>648</v>
      </c>
      <c r="E193" s="11" t="s">
        <v>10</v>
      </c>
      <c r="F193" s="195">
        <f>SUM(Open[[#This Row],[PR 1]:[PR 3]])</f>
        <v>29</v>
      </c>
      <c r="G193" s="109">
        <f>LARGE(Open[[#This Row],[TS SH O 22.02.22]:[PR3]],1)</f>
        <v>29</v>
      </c>
      <c r="H193" s="109">
        <f>LARGE(Open[[#This Row],[TS SH O 22.02.22]:[PR3]],2)</f>
        <v>0</v>
      </c>
      <c r="I193" s="109">
        <f>LARGE(Open[[#This Row],[TS SH O 22.02.22]:[PR3]],3)</f>
        <v>0</v>
      </c>
      <c r="J193" s="196">
        <f>RANK(K193,$K$7:$K$361,0)</f>
        <v>186</v>
      </c>
      <c r="K193" s="109">
        <f>SUM(L193:W193)</f>
        <v>29</v>
      </c>
      <c r="L193" s="109"/>
      <c r="M193" s="109" t="str">
        <f>IFERROR(VLOOKUP(Open[[#This Row],[TS SH O 23.04.22 Rang]],$AJ$16:$AK$111,2,0)*M$5," ")</f>
        <v xml:space="preserve"> </v>
      </c>
      <c r="N193" s="109" t="str">
        <f>IFERROR(VLOOKUP(Open[[#This Row],[TS LA O 08.05.22 Rang]],$AJ$16:$AK$111,2,0)*N$5," ")</f>
        <v xml:space="preserve"> </v>
      </c>
      <c r="O193" s="109" t="str">
        <f>IFERROR(VLOOKUP(Open[[#This Row],[TS SG O 25.05.22 Rang]],$AJ$16:$AK$111,2,0)*O$5," ")</f>
        <v xml:space="preserve"> </v>
      </c>
      <c r="P193" s="109" t="str">
        <f>IFERROR(VLOOKUP(Open[[#This Row],[TS SH O 25.06.22 Rang]],$AJ$16:$AK$111,2,0)*P$5," ")</f>
        <v xml:space="preserve"> </v>
      </c>
      <c r="Q193" s="109" t="str">
        <f>IFERROR(VLOOKUP(Open[[#This Row],[TS ZH O/A 25.06.22 Rang]],$AJ$16:$AK$111,2,0)*Q$5," ")</f>
        <v xml:space="preserve"> </v>
      </c>
      <c r="R193" s="109" t="str">
        <f>IFERROR(VLOOKUP(Open[[#This Row],[TS ZH O/B 25.06.22 Rang]],$AJ$16:$AK$111,2,0)*R$5," ")</f>
        <v xml:space="preserve"> </v>
      </c>
      <c r="S193" s="109" t="str">
        <f>IFERROR(VLOOKUP(Open[[#This Row],[SM BE O/A 09.07.22 Rang]],$AJ$16:$AK$111,2,0)*S$5," ")</f>
        <v xml:space="preserve"> </v>
      </c>
      <c r="T193" s="109">
        <f>IFERROR(VLOOKUP(Open[[#This Row],[SM BE O/B 09.07.22 Rang]],$AJ$16:$AK$111,2,0)*T$5," ")</f>
        <v>29</v>
      </c>
      <c r="U193" s="11">
        <v>0</v>
      </c>
      <c r="V193" s="11">
        <v>0</v>
      </c>
      <c r="W193" s="11">
        <v>0</v>
      </c>
      <c r="X193" s="129"/>
      <c r="Y193" s="191"/>
      <c r="Z193" s="191"/>
      <c r="AA193" s="191"/>
      <c r="AB193" s="191"/>
      <c r="AC193" s="191"/>
      <c r="AD193" s="191"/>
      <c r="AE193" s="191"/>
      <c r="AF193" s="191">
        <v>5</v>
      </c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BB193" s="4"/>
      <c r="BC193" s="4"/>
      <c r="BD193" s="4"/>
      <c r="BE193" s="4"/>
      <c r="BF193" s="4"/>
      <c r="BG193" s="4"/>
      <c r="BH193" s="4"/>
      <c r="BI193" s="4"/>
    </row>
    <row r="194" spans="1:61" x14ac:dyDescent="0.2">
      <c r="A194" s="86">
        <v>169</v>
      </c>
      <c r="B194" s="11">
        <f>IF(Open[[#This Row],[PR Rang beim letzten Turnier]]&gt;Open[[#This Row],[PR Rang]],1,IF(Open[[#This Row],[PR Rang beim letzten Turnier]]=Open[[#This Row],[PR Rang]],0,-1))</f>
        <v>-1</v>
      </c>
      <c r="C194" s="194">
        <f>RANK(Open[[#This Row],[PR Punkte]],Open[PR Punkte],0)</f>
        <v>186</v>
      </c>
      <c r="D194" s="33" t="s">
        <v>617</v>
      </c>
      <c r="E194" s="11" t="s">
        <v>11</v>
      </c>
      <c r="F194" s="195">
        <f>SUM(Open[[#This Row],[PR 1]:[PR 3]])</f>
        <v>29</v>
      </c>
      <c r="G194" s="109">
        <f>LARGE(Open[[#This Row],[TS SH O 22.02.22]:[PR3]],1)</f>
        <v>29</v>
      </c>
      <c r="H194" s="109">
        <f>LARGE(Open[[#This Row],[TS SH O 22.02.22]:[PR3]],2)</f>
        <v>0</v>
      </c>
      <c r="I194" s="109">
        <f>LARGE(Open[[#This Row],[TS SH O 22.02.22]:[PR3]],3)</f>
        <v>0</v>
      </c>
      <c r="J194" s="196">
        <f>RANK(K194,$K$7:$K$361,0)</f>
        <v>186</v>
      </c>
      <c r="K194" s="109">
        <f>SUM(L194:W194)</f>
        <v>29</v>
      </c>
      <c r="L194" s="109"/>
      <c r="M194" s="109" t="str">
        <f>IFERROR(VLOOKUP(Open[[#This Row],[TS SH O 23.04.22 Rang]],$AJ$16:$AK$111,2,0)*M$5," ")</f>
        <v xml:space="preserve"> </v>
      </c>
      <c r="N194" s="109" t="str">
        <f>IFERROR(VLOOKUP(Open[[#This Row],[TS LA O 08.05.22 Rang]],$AJ$16:$AK$111,2,0)*N$5," ")</f>
        <v xml:space="preserve"> </v>
      </c>
      <c r="O194" s="109" t="str">
        <f>IFERROR(VLOOKUP(Open[[#This Row],[TS SG O 25.05.22 Rang]],$AJ$16:$AK$111,2,0)*O$5," ")</f>
        <v xml:space="preserve"> </v>
      </c>
      <c r="P194" s="109" t="str">
        <f>IFERROR(VLOOKUP(Open[[#This Row],[TS SH O 25.06.22 Rang]],$AJ$16:$AK$111,2,0)*P$5," ")</f>
        <v xml:space="preserve"> </v>
      </c>
      <c r="Q194" s="109" t="str">
        <f>IFERROR(VLOOKUP(Open[[#This Row],[TS ZH O/A 25.06.22 Rang]],$AJ$16:$AK$111,2,0)*Q$5," ")</f>
        <v xml:space="preserve"> </v>
      </c>
      <c r="R194" s="109">
        <f>IFERROR(VLOOKUP(Open[[#This Row],[TS ZH O/B 25.06.22 Rang]],$AJ$16:$AK$111,2,0)*R$5," ")</f>
        <v>29</v>
      </c>
      <c r="S194" s="109" t="str">
        <f>IFERROR(VLOOKUP(Open[[#This Row],[SM BE O/A 09.07.22 Rang]],$AJ$16:$AK$111,2,0)*S$5," ")</f>
        <v xml:space="preserve"> </v>
      </c>
      <c r="T194" s="109" t="str">
        <f>IFERROR(VLOOKUP(Open[[#This Row],[SM BE O/B 09.07.22 Rang]],$AJ$16:$AK$111,2,0)*T$5," ")</f>
        <v xml:space="preserve"> </v>
      </c>
      <c r="U194" s="11">
        <v>0</v>
      </c>
      <c r="V194" s="11">
        <v>0</v>
      </c>
      <c r="W194" s="11">
        <v>0</v>
      </c>
      <c r="X194" s="129"/>
      <c r="Y194" s="191"/>
      <c r="Z194" s="191"/>
      <c r="AA194" s="191"/>
      <c r="AB194" s="191"/>
      <c r="AC194" s="191"/>
      <c r="AD194" s="191">
        <v>5</v>
      </c>
      <c r="AE194" s="191"/>
      <c r="AF194" s="191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BB194" s="4"/>
      <c r="BC194" s="4"/>
      <c r="BD194" s="4"/>
      <c r="BE194" s="4"/>
      <c r="BF194" s="4"/>
      <c r="BG194" s="4"/>
      <c r="BH194" s="4"/>
      <c r="BI194" s="4"/>
    </row>
    <row r="195" spans="1:61" x14ac:dyDescent="0.2">
      <c r="A195" s="86">
        <v>169</v>
      </c>
      <c r="B195" s="11">
        <f>IF(Open[[#This Row],[PR Rang beim letzten Turnier]]&gt;Open[[#This Row],[PR Rang]],1,IF(Open[[#This Row],[PR Rang beim letzten Turnier]]=Open[[#This Row],[PR Rang]],0,-1))</f>
        <v>-1</v>
      </c>
      <c r="C195" s="194">
        <f>RANK(Open[[#This Row],[PR Punkte]],Open[PR Punkte],0)</f>
        <v>186</v>
      </c>
      <c r="D195" s="33" t="s">
        <v>618</v>
      </c>
      <c r="E195" s="11" t="s">
        <v>11</v>
      </c>
      <c r="F195" s="195">
        <f>SUM(Open[[#This Row],[PR 1]:[PR 3]])</f>
        <v>29</v>
      </c>
      <c r="G195" s="109">
        <f>LARGE(Open[[#This Row],[TS SH O 22.02.22]:[PR3]],1)</f>
        <v>29</v>
      </c>
      <c r="H195" s="109">
        <f>LARGE(Open[[#This Row],[TS SH O 22.02.22]:[PR3]],2)</f>
        <v>0</v>
      </c>
      <c r="I195" s="109">
        <f>LARGE(Open[[#This Row],[TS SH O 22.02.22]:[PR3]],3)</f>
        <v>0</v>
      </c>
      <c r="J195" s="196">
        <f>RANK(K195,$K$7:$K$361,0)</f>
        <v>186</v>
      </c>
      <c r="K195" s="109">
        <f>SUM(L195:W195)</f>
        <v>29</v>
      </c>
      <c r="L195" s="109"/>
      <c r="M195" s="109" t="str">
        <f>IFERROR(VLOOKUP(Open[[#This Row],[TS SH O 23.04.22 Rang]],$AJ$16:$AK$111,2,0)*M$5," ")</f>
        <v xml:space="preserve"> </v>
      </c>
      <c r="N195" s="109" t="str">
        <f>IFERROR(VLOOKUP(Open[[#This Row],[TS LA O 08.05.22 Rang]],$AJ$16:$AK$111,2,0)*N$5," ")</f>
        <v xml:space="preserve"> </v>
      </c>
      <c r="O195" s="109" t="str">
        <f>IFERROR(VLOOKUP(Open[[#This Row],[TS SG O 25.05.22 Rang]],$AJ$16:$AK$111,2,0)*O$5," ")</f>
        <v xml:space="preserve"> </v>
      </c>
      <c r="P195" s="109" t="str">
        <f>IFERROR(VLOOKUP(Open[[#This Row],[TS SH O 25.06.22 Rang]],$AJ$16:$AK$111,2,0)*P$5," ")</f>
        <v xml:space="preserve"> </v>
      </c>
      <c r="Q195" s="109" t="str">
        <f>IFERROR(VLOOKUP(Open[[#This Row],[TS ZH O/A 25.06.22 Rang]],$AJ$16:$AK$111,2,0)*Q$5," ")</f>
        <v xml:space="preserve"> </v>
      </c>
      <c r="R195" s="109">
        <f>IFERROR(VLOOKUP(Open[[#This Row],[TS ZH O/B 25.06.22 Rang]],$AJ$16:$AK$111,2,0)*R$5," ")</f>
        <v>29</v>
      </c>
      <c r="S195" s="109" t="str">
        <f>IFERROR(VLOOKUP(Open[[#This Row],[SM BE O/A 09.07.22 Rang]],$AJ$16:$AK$111,2,0)*S$5," ")</f>
        <v xml:space="preserve"> </v>
      </c>
      <c r="T195" s="109" t="str">
        <f>IFERROR(VLOOKUP(Open[[#This Row],[SM BE O/B 09.07.22 Rang]],$AJ$16:$AK$111,2,0)*T$5," ")</f>
        <v xml:space="preserve"> </v>
      </c>
      <c r="U195" s="11">
        <v>0</v>
      </c>
      <c r="V195" s="11">
        <v>0</v>
      </c>
      <c r="W195" s="11">
        <v>0</v>
      </c>
      <c r="X195" s="129"/>
      <c r="Y195" s="191"/>
      <c r="Z195" s="191"/>
      <c r="AA195" s="191"/>
      <c r="AB195" s="191"/>
      <c r="AC195" s="191"/>
      <c r="AD195" s="191">
        <v>5</v>
      </c>
      <c r="AE195" s="191"/>
      <c r="AF195" s="191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BB195" s="4"/>
      <c r="BC195" s="4"/>
      <c r="BD195" s="4"/>
      <c r="BE195" s="4"/>
      <c r="BF195" s="4"/>
      <c r="BG195" s="4"/>
      <c r="BH195" s="4"/>
      <c r="BI195" s="4"/>
    </row>
    <row r="196" spans="1:61" x14ac:dyDescent="0.2">
      <c r="A196" s="86">
        <v>173</v>
      </c>
      <c r="B196" s="11">
        <f>IF(Open[[#This Row],[PR Rang beim letzten Turnier]]&gt;Open[[#This Row],[PR Rang]],1,IF(Open[[#This Row],[PR Rang beim letzten Turnier]]=Open[[#This Row],[PR Rang]],0,-1))</f>
        <v>-1</v>
      </c>
      <c r="C196" s="194">
        <f>RANK(Open[[#This Row],[PR Punkte]],Open[PR Punkte],0)</f>
        <v>190</v>
      </c>
      <c r="D196" s="33" t="s">
        <v>649</v>
      </c>
      <c r="E196" s="11" t="s">
        <v>11</v>
      </c>
      <c r="F196" s="195">
        <f>SUM(Open[[#This Row],[PR 1]:[PR 3]])</f>
        <v>24.5</v>
      </c>
      <c r="G196" s="109">
        <f>LARGE(Open[[#This Row],[TS SH O 22.02.22]:[PR3]],1)</f>
        <v>24.5</v>
      </c>
      <c r="H196" s="109">
        <f>LARGE(Open[[#This Row],[TS SH O 22.02.22]:[PR3]],2)</f>
        <v>0</v>
      </c>
      <c r="I196" s="109">
        <f>LARGE(Open[[#This Row],[TS SH O 22.02.22]:[PR3]],3)</f>
        <v>0</v>
      </c>
      <c r="J196" s="196">
        <f>RANK(K196,$K$7:$K$361,0)</f>
        <v>190</v>
      </c>
      <c r="K196" s="109">
        <f>SUM(L196:W196)</f>
        <v>24.5</v>
      </c>
      <c r="L196" s="109"/>
      <c r="M196" s="109" t="str">
        <f>IFERROR(VLOOKUP(Open[[#This Row],[TS SH O 23.04.22 Rang]],$AJ$16:$AK$111,2,0)*M$5," ")</f>
        <v xml:space="preserve"> </v>
      </c>
      <c r="N196" s="109" t="str">
        <f>IFERROR(VLOOKUP(Open[[#This Row],[TS LA O 08.05.22 Rang]],$AJ$16:$AK$111,2,0)*N$5," ")</f>
        <v xml:space="preserve"> </v>
      </c>
      <c r="O196" s="109" t="str">
        <f>IFERROR(VLOOKUP(Open[[#This Row],[TS SG O 25.05.22 Rang]],$AJ$16:$AK$111,2,0)*O$5," ")</f>
        <v xml:space="preserve"> </v>
      </c>
      <c r="P196" s="109" t="str">
        <f>IFERROR(VLOOKUP(Open[[#This Row],[TS SH O 25.06.22 Rang]],$AJ$16:$AK$111,2,0)*P$5," ")</f>
        <v xml:space="preserve"> </v>
      </c>
      <c r="Q196" s="109" t="str">
        <f>IFERROR(VLOOKUP(Open[[#This Row],[TS ZH O/A 25.06.22 Rang]],$AJ$16:$AK$111,2,0)*Q$5," ")</f>
        <v xml:space="preserve"> </v>
      </c>
      <c r="R196" s="109" t="str">
        <f>IFERROR(VLOOKUP(Open[[#This Row],[TS ZH O/B 25.06.22 Rang]],$AJ$16:$AK$111,2,0)*R$5," ")</f>
        <v xml:space="preserve"> </v>
      </c>
      <c r="S196" s="109" t="str">
        <f>IFERROR(VLOOKUP(Open[[#This Row],[SM BE O/A 09.07.22 Rang]],$AJ$16:$AK$111,2,0)*S$5," ")</f>
        <v xml:space="preserve"> </v>
      </c>
      <c r="T196" s="109">
        <f>IFERROR(VLOOKUP(Open[[#This Row],[SM BE O/B 09.07.22 Rang]],$AJ$16:$AK$111,2,0)*T$5," ")</f>
        <v>24.5</v>
      </c>
      <c r="U196" s="11">
        <v>0</v>
      </c>
      <c r="V196" s="11">
        <v>0</v>
      </c>
      <c r="W196" s="11">
        <v>0</v>
      </c>
      <c r="X196" s="129"/>
      <c r="Y196" s="191"/>
      <c r="Z196" s="191"/>
      <c r="AA196" s="191"/>
      <c r="AB196" s="191"/>
      <c r="AC196" s="191"/>
      <c r="AD196" s="191"/>
      <c r="AE196" s="191"/>
      <c r="AF196" s="191">
        <v>6</v>
      </c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BB196" s="4"/>
      <c r="BC196" s="4"/>
      <c r="BD196" s="4"/>
      <c r="BE196" s="4"/>
      <c r="BF196" s="4"/>
      <c r="BG196" s="4"/>
      <c r="BH196" s="4"/>
      <c r="BI196" s="4"/>
    </row>
    <row r="197" spans="1:61" x14ac:dyDescent="0.2">
      <c r="A197" s="86">
        <v>173</v>
      </c>
      <c r="B197" s="11">
        <f>IF(Open[[#This Row],[PR Rang beim letzten Turnier]]&gt;Open[[#This Row],[PR Rang]],1,IF(Open[[#This Row],[PR Rang beim letzten Turnier]]=Open[[#This Row],[PR Rang]],0,-1))</f>
        <v>-1</v>
      </c>
      <c r="C197" s="194">
        <f>RANK(Open[[#This Row],[PR Punkte]],Open[PR Punkte],0)</f>
        <v>190</v>
      </c>
      <c r="D197" s="33" t="s">
        <v>650</v>
      </c>
      <c r="E197" s="11" t="s">
        <v>11</v>
      </c>
      <c r="F197" s="195">
        <f>SUM(Open[[#This Row],[PR 1]:[PR 3]])</f>
        <v>24.5</v>
      </c>
      <c r="G197" s="109">
        <f>LARGE(Open[[#This Row],[TS SH O 22.02.22]:[PR3]],1)</f>
        <v>24.5</v>
      </c>
      <c r="H197" s="109">
        <f>LARGE(Open[[#This Row],[TS SH O 22.02.22]:[PR3]],2)</f>
        <v>0</v>
      </c>
      <c r="I197" s="109">
        <f>LARGE(Open[[#This Row],[TS SH O 22.02.22]:[PR3]],3)</f>
        <v>0</v>
      </c>
      <c r="J197" s="196">
        <f>RANK(K197,$K$7:$K$361,0)</f>
        <v>190</v>
      </c>
      <c r="K197" s="109">
        <f>SUM(L197:W197)</f>
        <v>24.5</v>
      </c>
      <c r="L197" s="109"/>
      <c r="M197" s="109" t="str">
        <f>IFERROR(VLOOKUP(Open[[#This Row],[TS SH O 23.04.22 Rang]],$AJ$16:$AK$111,2,0)*M$5," ")</f>
        <v xml:space="preserve"> </v>
      </c>
      <c r="N197" s="109" t="str">
        <f>IFERROR(VLOOKUP(Open[[#This Row],[TS LA O 08.05.22 Rang]],$AJ$16:$AK$111,2,0)*N$5," ")</f>
        <v xml:space="preserve"> </v>
      </c>
      <c r="O197" s="109" t="str">
        <f>IFERROR(VLOOKUP(Open[[#This Row],[TS SG O 25.05.22 Rang]],$AJ$16:$AK$111,2,0)*O$5," ")</f>
        <v xml:space="preserve"> </v>
      </c>
      <c r="P197" s="109" t="str">
        <f>IFERROR(VLOOKUP(Open[[#This Row],[TS SH O 25.06.22 Rang]],$AJ$16:$AK$111,2,0)*P$5," ")</f>
        <v xml:space="preserve"> </v>
      </c>
      <c r="Q197" s="109" t="str">
        <f>IFERROR(VLOOKUP(Open[[#This Row],[TS ZH O/A 25.06.22 Rang]],$AJ$16:$AK$111,2,0)*Q$5," ")</f>
        <v xml:space="preserve"> </v>
      </c>
      <c r="R197" s="109" t="str">
        <f>IFERROR(VLOOKUP(Open[[#This Row],[TS ZH O/B 25.06.22 Rang]],$AJ$16:$AK$111,2,0)*R$5," ")</f>
        <v xml:space="preserve"> </v>
      </c>
      <c r="S197" s="109" t="str">
        <f>IFERROR(VLOOKUP(Open[[#This Row],[SM BE O/A 09.07.22 Rang]],$AJ$16:$AK$111,2,0)*S$5," ")</f>
        <v xml:space="preserve"> </v>
      </c>
      <c r="T197" s="109">
        <f>IFERROR(VLOOKUP(Open[[#This Row],[SM BE O/B 09.07.22 Rang]],$AJ$16:$AK$111,2,0)*T$5," ")</f>
        <v>24.5</v>
      </c>
      <c r="U197" s="11">
        <v>0</v>
      </c>
      <c r="V197" s="11">
        <v>0</v>
      </c>
      <c r="W197" s="11">
        <v>0</v>
      </c>
      <c r="X197" s="129"/>
      <c r="Y197" s="191"/>
      <c r="Z197" s="191"/>
      <c r="AA197" s="191"/>
      <c r="AB197" s="191"/>
      <c r="AC197" s="191"/>
      <c r="AD197" s="191"/>
      <c r="AE197" s="191"/>
      <c r="AF197" s="191">
        <v>6</v>
      </c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BB197" s="4"/>
      <c r="BC197" s="4"/>
      <c r="BD197" s="4"/>
      <c r="BE197" s="4"/>
      <c r="BF197" s="4"/>
      <c r="BG197" s="4"/>
      <c r="BH197" s="4"/>
      <c r="BI197" s="4"/>
    </row>
    <row r="198" spans="1:61" x14ac:dyDescent="0.2">
      <c r="A198" s="11">
        <v>173</v>
      </c>
      <c r="B198" s="11">
        <f>IF(Open[[#This Row],[PR Rang beim letzten Turnier]]&gt;Open[[#This Row],[PR Rang]],1,IF(Open[[#This Row],[PR Rang beim letzten Turnier]]=Open[[#This Row],[PR Rang]],0,-1))</f>
        <v>-1</v>
      </c>
      <c r="C198" s="147">
        <f>RANK(Open[[#This Row],[PR Punkte]],Open[PR Punkte],0)</f>
        <v>192</v>
      </c>
      <c r="D198" s="25" t="s">
        <v>243</v>
      </c>
      <c r="E198" s="31" t="s">
        <v>11</v>
      </c>
      <c r="F198" s="109">
        <f>SUM(Open[[#This Row],[PR 1]:[PR 3]])</f>
        <v>20</v>
      </c>
      <c r="G198" s="109">
        <f>LARGE(Open[[#This Row],[TS SH O 22.02.22]:[PR3]],1)</f>
        <v>20</v>
      </c>
      <c r="H198" s="109">
        <f>LARGE(Open[[#This Row],[TS SH O 22.02.22]:[PR3]],2)</f>
        <v>0</v>
      </c>
      <c r="I198" s="109">
        <f>LARGE(Open[[#This Row],[TS SH O 22.02.22]:[PR3]],3)</f>
        <v>0</v>
      </c>
      <c r="J198" s="31">
        <f>RANK(K198,$K$7:$K$295,0)</f>
        <v>192</v>
      </c>
      <c r="K198" s="109">
        <f>SUM(L198:W198)</f>
        <v>20</v>
      </c>
      <c r="L198" s="109" t="str">
        <f>IFERROR(VLOOKUP(Open[[#This Row],[TS SH 22.02.22 Rang]],$AJ$16:$AK$111,2,0)*L$5," ")</f>
        <v xml:space="preserve"> </v>
      </c>
      <c r="M198" s="109" t="str">
        <f>IFERROR(VLOOKUP(Open[[#This Row],[TS SH O 23.04.22 Rang]],$AJ$16:$AK$111,2,0)*M$5," ")</f>
        <v xml:space="preserve"> </v>
      </c>
      <c r="N198" s="109" t="str">
        <f>IFERROR(VLOOKUP(Open[[#This Row],[TS LA O 08.05.22 Rang]],$AJ$16:$AK$111,2,0)*N$5," ")</f>
        <v xml:space="preserve"> </v>
      </c>
      <c r="O198" s="109" t="str">
        <f>IFERROR(VLOOKUP(Open[[#This Row],[TS SG O 25.05.22 Rang]],$AJ$16:$AK$111,2,0)*O$5," ")</f>
        <v xml:space="preserve"> </v>
      </c>
      <c r="P198" s="109" t="str">
        <f>IFERROR(VLOOKUP(Open[[#This Row],[TS SH O 25.06.22 Rang]],$AJ$16:$AK$111,2,0)*P$5," ")</f>
        <v xml:space="preserve"> </v>
      </c>
      <c r="Q198" s="109" t="str">
        <f>IFERROR(VLOOKUP(Open[[#This Row],[TS ZH O/A 25.06.22 Rang]],$AJ$16:$AK$111,2,0)*Q$5," ")</f>
        <v xml:space="preserve"> </v>
      </c>
      <c r="R198" s="109" t="str">
        <f>IFERROR(VLOOKUP(Open[[#This Row],[TS ZH O/B 25.06.22 Rang]],$AJ$16:$AK$111,2,0)*R$5," ")</f>
        <v xml:space="preserve"> </v>
      </c>
      <c r="S198" s="109" t="str">
        <f>IFERROR(VLOOKUP(Open[[#This Row],[SM BE O/A 09.07.22 Rang]],$AJ$16:$AK$111,2,0)*S$5," ")</f>
        <v xml:space="preserve"> </v>
      </c>
      <c r="T198" s="109">
        <f>IFERROR(VLOOKUP(Open[[#This Row],[SM BE O/B 09.07.22 Rang]],$AJ$16:$AK$111,2,0)*T$5," ")</f>
        <v>20</v>
      </c>
      <c r="U198" s="11">
        <v>0</v>
      </c>
      <c r="V198" s="11">
        <v>0</v>
      </c>
      <c r="W198" s="11">
        <v>0</v>
      </c>
      <c r="X198" s="129"/>
      <c r="Y198" s="191"/>
      <c r="Z198" s="191"/>
      <c r="AA198" s="191"/>
      <c r="AB198" s="191"/>
      <c r="AC198" s="191"/>
      <c r="AD198" s="191"/>
      <c r="AE198" s="191"/>
      <c r="AF198" s="191">
        <v>7</v>
      </c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BB198" s="4"/>
      <c r="BC198" s="4"/>
      <c r="BD198" s="4"/>
      <c r="BE198" s="4"/>
      <c r="BF198" s="4"/>
      <c r="BG198" s="4"/>
      <c r="BH198" s="4"/>
      <c r="BI198" s="4"/>
    </row>
    <row r="199" spans="1:61" x14ac:dyDescent="0.2">
      <c r="A199" s="11">
        <v>173</v>
      </c>
      <c r="B199" s="11">
        <f>IF(Open[[#This Row],[PR Rang beim letzten Turnier]]&gt;Open[[#This Row],[PR Rang]],1,IF(Open[[#This Row],[PR Rang beim letzten Turnier]]=Open[[#This Row],[PR Rang]],0,-1))</f>
        <v>-1</v>
      </c>
      <c r="C199" s="147">
        <f>RANK(Open[[#This Row],[PR Punkte]],Open[PR Punkte],0)</f>
        <v>192</v>
      </c>
      <c r="D199" s="25" t="s">
        <v>242</v>
      </c>
      <c r="E199" s="31" t="s">
        <v>11</v>
      </c>
      <c r="F199" s="109">
        <f>SUM(Open[[#This Row],[PR 1]:[PR 3]])</f>
        <v>20</v>
      </c>
      <c r="G199" s="109">
        <f>LARGE(Open[[#This Row],[TS SH O 22.02.22]:[PR3]],1)</f>
        <v>20</v>
      </c>
      <c r="H199" s="109">
        <f>LARGE(Open[[#This Row],[TS SH O 22.02.22]:[PR3]],2)</f>
        <v>0</v>
      </c>
      <c r="I199" s="109">
        <f>LARGE(Open[[#This Row],[TS SH O 22.02.22]:[PR3]],3)</f>
        <v>0</v>
      </c>
      <c r="J199" s="31">
        <f>RANK(K199,$K$7:$K$295,0)</f>
        <v>192</v>
      </c>
      <c r="K199" s="109">
        <f>SUM(L199:W199)</f>
        <v>20</v>
      </c>
      <c r="L199" s="109" t="str">
        <f>IFERROR(VLOOKUP(Open[[#This Row],[TS SH 22.02.22 Rang]],$AJ$16:$AK$111,2,0)*L$5," ")</f>
        <v xml:space="preserve"> </v>
      </c>
      <c r="M199" s="109" t="str">
        <f>IFERROR(VLOOKUP(Open[[#This Row],[TS SH O 23.04.22 Rang]],$AJ$16:$AK$111,2,0)*M$5," ")</f>
        <v xml:space="preserve"> </v>
      </c>
      <c r="N199" s="109" t="str">
        <f>IFERROR(VLOOKUP(Open[[#This Row],[TS LA O 08.05.22 Rang]],$AJ$16:$AK$111,2,0)*N$5," ")</f>
        <v xml:space="preserve"> </v>
      </c>
      <c r="O199" s="109" t="str">
        <f>IFERROR(VLOOKUP(Open[[#This Row],[TS SG O 25.05.22 Rang]],$AJ$16:$AK$111,2,0)*O$5," ")</f>
        <v xml:space="preserve"> </v>
      </c>
      <c r="P199" s="109" t="str">
        <f>IFERROR(VLOOKUP(Open[[#This Row],[TS SH O 25.06.22 Rang]],$AJ$16:$AK$111,2,0)*P$5," ")</f>
        <v xml:space="preserve"> </v>
      </c>
      <c r="Q199" s="109" t="str">
        <f>IFERROR(VLOOKUP(Open[[#This Row],[TS ZH O/A 25.06.22 Rang]],$AJ$16:$AK$111,2,0)*Q$5," ")</f>
        <v xml:space="preserve"> </v>
      </c>
      <c r="R199" s="109" t="str">
        <f>IFERROR(VLOOKUP(Open[[#This Row],[TS ZH O/B 25.06.22 Rang]],$AJ$16:$AK$111,2,0)*R$5," ")</f>
        <v xml:space="preserve"> </v>
      </c>
      <c r="S199" s="109" t="str">
        <f>IFERROR(VLOOKUP(Open[[#This Row],[SM BE O/A 09.07.22 Rang]],$AJ$16:$AK$111,2,0)*S$5," ")</f>
        <v xml:space="preserve"> </v>
      </c>
      <c r="T199" s="109">
        <f>IFERROR(VLOOKUP(Open[[#This Row],[SM BE O/B 09.07.22 Rang]],$AJ$16:$AK$111,2,0)*T$5," ")</f>
        <v>20</v>
      </c>
      <c r="U199" s="11">
        <v>0</v>
      </c>
      <c r="V199" s="11">
        <v>0</v>
      </c>
      <c r="W199" s="11">
        <v>0</v>
      </c>
      <c r="X199" s="129"/>
      <c r="Y199" s="191"/>
      <c r="Z199" s="191"/>
      <c r="AA199" s="191"/>
      <c r="AB199" s="191"/>
      <c r="AC199" s="191"/>
      <c r="AD199" s="191"/>
      <c r="AE199" s="191"/>
      <c r="AF199" s="191">
        <v>7</v>
      </c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BB199" s="4"/>
      <c r="BC199" s="4"/>
      <c r="BD199" s="4"/>
      <c r="BE199" s="4"/>
      <c r="BF199" s="4"/>
      <c r="BG199" s="4"/>
      <c r="BH199" s="4"/>
      <c r="BI199" s="4"/>
    </row>
    <row r="200" spans="1:61" x14ac:dyDescent="0.2">
      <c r="A200" s="11">
        <v>173</v>
      </c>
      <c r="B200" s="11">
        <f>IF(Open[[#This Row],[PR Rang beim letzten Turnier]]&gt;Open[[#This Row],[PR Rang]],1,IF(Open[[#This Row],[PR Rang beim letzten Turnier]]=Open[[#This Row],[PR Rang]],0,-1))</f>
        <v>-1</v>
      </c>
      <c r="C200" s="147">
        <f>RANK(Open[[#This Row],[PR Punkte]],Open[PR Punkte],0)</f>
        <v>192</v>
      </c>
      <c r="D200" s="25" t="s">
        <v>249</v>
      </c>
      <c r="E200" s="31" t="s">
        <v>11</v>
      </c>
      <c r="F200" s="109">
        <f>SUM(Open[[#This Row],[PR 1]:[PR 3]])</f>
        <v>20</v>
      </c>
      <c r="G200" s="109">
        <f>LARGE(Open[[#This Row],[TS SH O 22.02.22]:[PR3]],1)</f>
        <v>20</v>
      </c>
      <c r="H200" s="109">
        <f>LARGE(Open[[#This Row],[TS SH O 22.02.22]:[PR3]],2)</f>
        <v>0</v>
      </c>
      <c r="I200" s="109">
        <f>LARGE(Open[[#This Row],[TS SH O 22.02.22]:[PR3]],3)</f>
        <v>0</v>
      </c>
      <c r="J200" s="31">
        <f>RANK(K200,$K$7:$K$295,0)</f>
        <v>192</v>
      </c>
      <c r="K200" s="109">
        <f>SUM(L200:W200)</f>
        <v>20</v>
      </c>
      <c r="L200" s="109" t="str">
        <f>IFERROR(VLOOKUP(Open[[#This Row],[TS SH 22.02.22 Rang]],$AJ$16:$AK$111,2,0)*L$5," ")</f>
        <v xml:space="preserve"> </v>
      </c>
      <c r="M200" s="109" t="str">
        <f>IFERROR(VLOOKUP(Open[[#This Row],[TS SH O 23.04.22 Rang]],$AJ$16:$AK$111,2,0)*M$5," ")</f>
        <v xml:space="preserve"> </v>
      </c>
      <c r="N200" s="109" t="str">
        <f>IFERROR(VLOOKUP(Open[[#This Row],[TS LA O 08.05.22 Rang]],$AJ$16:$AK$111,2,0)*N$5," ")</f>
        <v xml:space="preserve"> </v>
      </c>
      <c r="O200" s="109" t="str">
        <f>IFERROR(VLOOKUP(Open[[#This Row],[TS SG O 25.05.22 Rang]],$AJ$16:$AK$111,2,0)*O$5," ")</f>
        <v xml:space="preserve"> </v>
      </c>
      <c r="P200" s="109" t="str">
        <f>IFERROR(VLOOKUP(Open[[#This Row],[TS SH O 25.06.22 Rang]],$AJ$16:$AK$111,2,0)*P$5," ")</f>
        <v xml:space="preserve"> </v>
      </c>
      <c r="Q200" s="109" t="str">
        <f>IFERROR(VLOOKUP(Open[[#This Row],[TS ZH O/A 25.06.22 Rang]],$AJ$16:$AK$111,2,0)*Q$5," ")</f>
        <v xml:space="preserve"> </v>
      </c>
      <c r="R200" s="109" t="str">
        <f>IFERROR(VLOOKUP(Open[[#This Row],[TS ZH O/B 25.06.22 Rang]],$AJ$16:$AK$111,2,0)*R$5," ")</f>
        <v xml:space="preserve"> </v>
      </c>
      <c r="S200" s="109" t="str">
        <f>IFERROR(VLOOKUP(Open[[#This Row],[SM BE O/A 09.07.22 Rang]],$AJ$16:$AK$111,2,0)*S$5," ")</f>
        <v xml:space="preserve"> </v>
      </c>
      <c r="T200" s="109">
        <f>IFERROR(VLOOKUP(Open[[#This Row],[SM BE O/B 09.07.22 Rang]],$AJ$16:$AK$111,2,0)*T$5," ")</f>
        <v>20</v>
      </c>
      <c r="U200" s="11">
        <v>0</v>
      </c>
      <c r="V200" s="11">
        <v>0</v>
      </c>
      <c r="W200" s="11">
        <v>0</v>
      </c>
      <c r="X200" s="129"/>
      <c r="Y200" s="191"/>
      <c r="Z200" s="191"/>
      <c r="AA200" s="191"/>
      <c r="AB200" s="191"/>
      <c r="AC200" s="191"/>
      <c r="AD200" s="191"/>
      <c r="AE200" s="191"/>
      <c r="AF200" s="191">
        <v>7</v>
      </c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BB200" s="4"/>
      <c r="BC200" s="4"/>
      <c r="BD200" s="4"/>
      <c r="BE200" s="4"/>
      <c r="BF200" s="4"/>
      <c r="BG200" s="4"/>
      <c r="BH200" s="4"/>
      <c r="BI200" s="4"/>
    </row>
    <row r="201" spans="1:61" x14ac:dyDescent="0.2">
      <c r="A201" s="86">
        <v>173</v>
      </c>
      <c r="B201" s="11">
        <f>IF(Open[[#This Row],[PR Rang beim letzten Turnier]]&gt;Open[[#This Row],[PR Rang]],1,IF(Open[[#This Row],[PR Rang beim letzten Turnier]]=Open[[#This Row],[PR Rang]],0,-1))</f>
        <v>-1</v>
      </c>
      <c r="C201" s="194">
        <f>RANK(Open[[#This Row],[PR Punkte]],Open[PR Punkte],0)</f>
        <v>195</v>
      </c>
      <c r="D201" s="33" t="s">
        <v>651</v>
      </c>
      <c r="E201" s="11" t="s">
        <v>11</v>
      </c>
      <c r="F201" s="195">
        <f>SUM(Open[[#This Row],[PR 1]:[PR 3]])</f>
        <v>10</v>
      </c>
      <c r="G201" s="109">
        <f>LARGE(Open[[#This Row],[TS SH O 22.02.22]:[PR3]],1)</f>
        <v>10</v>
      </c>
      <c r="H201" s="109">
        <f>LARGE(Open[[#This Row],[TS SH O 22.02.22]:[PR3]],2)</f>
        <v>0</v>
      </c>
      <c r="I201" s="109">
        <f>LARGE(Open[[#This Row],[TS SH O 22.02.22]:[PR3]],3)</f>
        <v>0</v>
      </c>
      <c r="J201" s="196">
        <f>RANK(K201,$K$7:$K$361,0)</f>
        <v>195</v>
      </c>
      <c r="K201" s="109">
        <f>SUM(L201:W201)</f>
        <v>10</v>
      </c>
      <c r="L201" s="109"/>
      <c r="M201" s="109" t="str">
        <f>IFERROR(VLOOKUP(Open[[#This Row],[TS SH O 23.04.22 Rang]],$AJ$16:$AK$111,2,0)*M$5," ")</f>
        <v xml:space="preserve"> </v>
      </c>
      <c r="N201" s="109" t="str">
        <f>IFERROR(VLOOKUP(Open[[#This Row],[TS LA O 08.05.22 Rang]],$AJ$16:$AK$111,2,0)*N$5," ")</f>
        <v xml:space="preserve"> </v>
      </c>
      <c r="O201" s="109" t="str">
        <f>IFERROR(VLOOKUP(Open[[#This Row],[TS SG O 25.05.22 Rang]],$AJ$16:$AK$111,2,0)*O$5," ")</f>
        <v xml:space="preserve"> </v>
      </c>
      <c r="P201" s="109" t="str">
        <f>IFERROR(VLOOKUP(Open[[#This Row],[TS SH O 25.06.22 Rang]],$AJ$16:$AK$111,2,0)*P$5," ")</f>
        <v xml:space="preserve"> </v>
      </c>
      <c r="Q201" s="109" t="str">
        <f>IFERROR(VLOOKUP(Open[[#This Row],[TS ZH O/A 25.06.22 Rang]],$AJ$16:$AK$111,2,0)*Q$5," ")</f>
        <v xml:space="preserve"> </v>
      </c>
      <c r="R201" s="109" t="str">
        <f>IFERROR(VLOOKUP(Open[[#This Row],[TS ZH O/B 25.06.22 Rang]],$AJ$16:$AK$111,2,0)*R$5," ")</f>
        <v xml:space="preserve"> </v>
      </c>
      <c r="S201" s="109" t="str">
        <f>IFERROR(VLOOKUP(Open[[#This Row],[SM BE O/A 09.07.22 Rang]],$AJ$16:$AK$111,2,0)*S$5," ")</f>
        <v xml:space="preserve"> </v>
      </c>
      <c r="T201" s="109">
        <f>IFERROR(VLOOKUP(Open[[#This Row],[SM BE O/B 09.07.22 Rang]],$AJ$16:$AK$111,2,0)*T$5," ")</f>
        <v>10</v>
      </c>
      <c r="U201" s="11">
        <v>0</v>
      </c>
      <c r="V201" s="11">
        <v>0</v>
      </c>
      <c r="W201" s="11">
        <v>0</v>
      </c>
      <c r="X201" s="129"/>
      <c r="Y201" s="191"/>
      <c r="Z201" s="191"/>
      <c r="AA201" s="191"/>
      <c r="AB201" s="191"/>
      <c r="AC201" s="191"/>
      <c r="AD201" s="191"/>
      <c r="AE201" s="191"/>
      <c r="AF201" s="191">
        <v>9</v>
      </c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BB201" s="4"/>
      <c r="BC201" s="4"/>
      <c r="BD201" s="4"/>
      <c r="BE201" s="4"/>
      <c r="BF201" s="4"/>
      <c r="BG201" s="4"/>
      <c r="BH201" s="4"/>
      <c r="BI201" s="4"/>
    </row>
    <row r="202" spans="1:61" x14ac:dyDescent="0.2">
      <c r="A202" s="86">
        <v>173</v>
      </c>
      <c r="B202" s="11">
        <f>IF(Open[[#This Row],[PR Rang beim letzten Turnier]]&gt;Open[[#This Row],[PR Rang]],1,IF(Open[[#This Row],[PR Rang beim letzten Turnier]]=Open[[#This Row],[PR Rang]],0,-1))</f>
        <v>-1</v>
      </c>
      <c r="C202" s="194">
        <f>RANK(Open[[#This Row],[PR Punkte]],Open[PR Punkte],0)</f>
        <v>195</v>
      </c>
      <c r="D202" s="33" t="s">
        <v>652</v>
      </c>
      <c r="E202" s="11" t="s">
        <v>11</v>
      </c>
      <c r="F202" s="195">
        <f>SUM(Open[[#This Row],[PR 1]:[PR 3]])</f>
        <v>10</v>
      </c>
      <c r="G202" s="109">
        <f>LARGE(Open[[#This Row],[TS SH O 22.02.22]:[PR3]],1)</f>
        <v>10</v>
      </c>
      <c r="H202" s="109">
        <f>LARGE(Open[[#This Row],[TS SH O 22.02.22]:[PR3]],2)</f>
        <v>0</v>
      </c>
      <c r="I202" s="109">
        <f>LARGE(Open[[#This Row],[TS SH O 22.02.22]:[PR3]],3)</f>
        <v>0</v>
      </c>
      <c r="J202" s="196">
        <f>RANK(K202,$K$7:$K$361,0)</f>
        <v>195</v>
      </c>
      <c r="K202" s="109">
        <f>SUM(L202:W202)</f>
        <v>10</v>
      </c>
      <c r="L202" s="109"/>
      <c r="M202" s="109" t="str">
        <f>IFERROR(VLOOKUP(Open[[#This Row],[TS SH O 23.04.22 Rang]],$AJ$16:$AK$111,2,0)*M$5," ")</f>
        <v xml:space="preserve"> </v>
      </c>
      <c r="N202" s="109" t="str">
        <f>IFERROR(VLOOKUP(Open[[#This Row],[TS LA O 08.05.22 Rang]],$AJ$16:$AK$111,2,0)*N$5," ")</f>
        <v xml:space="preserve"> </v>
      </c>
      <c r="O202" s="109" t="str">
        <f>IFERROR(VLOOKUP(Open[[#This Row],[TS SG O 25.05.22 Rang]],$AJ$16:$AK$111,2,0)*O$5," ")</f>
        <v xml:space="preserve"> </v>
      </c>
      <c r="P202" s="109" t="str">
        <f>IFERROR(VLOOKUP(Open[[#This Row],[TS SH O 25.06.22 Rang]],$AJ$16:$AK$111,2,0)*P$5," ")</f>
        <v xml:space="preserve"> </v>
      </c>
      <c r="Q202" s="109" t="str">
        <f>IFERROR(VLOOKUP(Open[[#This Row],[TS ZH O/A 25.06.22 Rang]],$AJ$16:$AK$111,2,0)*Q$5," ")</f>
        <v xml:space="preserve"> </v>
      </c>
      <c r="R202" s="109" t="str">
        <f>IFERROR(VLOOKUP(Open[[#This Row],[TS ZH O/B 25.06.22 Rang]],$AJ$16:$AK$111,2,0)*R$5," ")</f>
        <v xml:space="preserve"> </v>
      </c>
      <c r="S202" s="109" t="str">
        <f>IFERROR(VLOOKUP(Open[[#This Row],[SM BE O/A 09.07.22 Rang]],$AJ$16:$AK$111,2,0)*S$5," ")</f>
        <v xml:space="preserve"> </v>
      </c>
      <c r="T202" s="109">
        <f>IFERROR(VLOOKUP(Open[[#This Row],[SM BE O/B 09.07.22 Rang]],$AJ$16:$AK$111,2,0)*T$5," ")</f>
        <v>10</v>
      </c>
      <c r="U202" s="11">
        <v>0</v>
      </c>
      <c r="V202" s="11">
        <v>0</v>
      </c>
      <c r="W202" s="11">
        <v>0</v>
      </c>
      <c r="X202" s="129"/>
      <c r="Y202" s="191"/>
      <c r="Z202" s="191"/>
      <c r="AA202" s="191"/>
      <c r="AB202" s="191"/>
      <c r="AC202" s="191"/>
      <c r="AD202" s="191"/>
      <c r="AE202" s="191"/>
      <c r="AF202" s="191">
        <v>9</v>
      </c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BB202" s="4"/>
      <c r="BC202" s="4"/>
      <c r="BD202" s="4"/>
      <c r="BE202" s="4"/>
      <c r="BF202" s="4"/>
      <c r="BG202" s="4"/>
      <c r="BH202" s="4"/>
      <c r="BI202" s="4"/>
    </row>
    <row r="203" spans="1:61" x14ac:dyDescent="0.2">
      <c r="A203" s="86">
        <v>173</v>
      </c>
      <c r="B203" s="11">
        <f>IF(Open[[#This Row],[PR Rang beim letzten Turnier]]&gt;Open[[#This Row],[PR Rang]],1,IF(Open[[#This Row],[PR Rang beim letzten Turnier]]=Open[[#This Row],[PR Rang]],0,-1))</f>
        <v>-1</v>
      </c>
      <c r="C203" s="194">
        <f>RANK(Open[[#This Row],[PR Punkte]],Open[PR Punkte],0)</f>
        <v>195</v>
      </c>
      <c r="D203" s="33" t="s">
        <v>653</v>
      </c>
      <c r="E203" s="11" t="s">
        <v>11</v>
      </c>
      <c r="F203" s="195">
        <f>SUM(Open[[#This Row],[PR 1]:[PR 3]])</f>
        <v>10</v>
      </c>
      <c r="G203" s="109">
        <f>LARGE(Open[[#This Row],[TS SH O 22.02.22]:[PR3]],1)</f>
        <v>10</v>
      </c>
      <c r="H203" s="109">
        <f>LARGE(Open[[#This Row],[TS SH O 22.02.22]:[PR3]],2)</f>
        <v>0</v>
      </c>
      <c r="I203" s="109">
        <f>LARGE(Open[[#This Row],[TS SH O 22.02.22]:[PR3]],3)</f>
        <v>0</v>
      </c>
      <c r="J203" s="196">
        <f>RANK(K203,$K$7:$K$361,0)</f>
        <v>195</v>
      </c>
      <c r="K203" s="109">
        <f>SUM(L203:W203)</f>
        <v>10</v>
      </c>
      <c r="L203" s="109"/>
      <c r="M203" s="109" t="str">
        <f>IFERROR(VLOOKUP(Open[[#This Row],[TS SH O 23.04.22 Rang]],$AJ$16:$AK$111,2,0)*M$5," ")</f>
        <v xml:space="preserve"> </v>
      </c>
      <c r="N203" s="109" t="str">
        <f>IFERROR(VLOOKUP(Open[[#This Row],[TS LA O 08.05.22 Rang]],$AJ$16:$AK$111,2,0)*N$5," ")</f>
        <v xml:space="preserve"> </v>
      </c>
      <c r="O203" s="109" t="str">
        <f>IFERROR(VLOOKUP(Open[[#This Row],[TS SG O 25.05.22 Rang]],$AJ$16:$AK$111,2,0)*O$5," ")</f>
        <v xml:space="preserve"> </v>
      </c>
      <c r="P203" s="109" t="str">
        <f>IFERROR(VLOOKUP(Open[[#This Row],[TS SH O 25.06.22 Rang]],$AJ$16:$AK$111,2,0)*P$5," ")</f>
        <v xml:space="preserve"> </v>
      </c>
      <c r="Q203" s="109" t="str">
        <f>IFERROR(VLOOKUP(Open[[#This Row],[TS ZH O/A 25.06.22 Rang]],$AJ$16:$AK$111,2,0)*Q$5," ")</f>
        <v xml:space="preserve"> </v>
      </c>
      <c r="R203" s="109" t="str">
        <f>IFERROR(VLOOKUP(Open[[#This Row],[TS ZH O/B 25.06.22 Rang]],$AJ$16:$AK$111,2,0)*R$5," ")</f>
        <v xml:space="preserve"> </v>
      </c>
      <c r="S203" s="109" t="str">
        <f>IFERROR(VLOOKUP(Open[[#This Row],[SM BE O/A 09.07.22 Rang]],$AJ$16:$AK$111,2,0)*S$5," ")</f>
        <v xml:space="preserve"> </v>
      </c>
      <c r="T203" s="109">
        <f>IFERROR(VLOOKUP(Open[[#This Row],[SM BE O/B 09.07.22 Rang]],$AJ$16:$AK$111,2,0)*T$5," ")</f>
        <v>10</v>
      </c>
      <c r="U203" s="11">
        <v>0</v>
      </c>
      <c r="V203" s="11">
        <v>0</v>
      </c>
      <c r="W203" s="11">
        <v>0</v>
      </c>
      <c r="X203" s="129"/>
      <c r="Y203" s="191"/>
      <c r="Z203" s="191"/>
      <c r="AA203" s="191"/>
      <c r="AB203" s="191"/>
      <c r="AC203" s="191"/>
      <c r="AD203" s="191"/>
      <c r="AE203" s="191"/>
      <c r="AF203" s="191">
        <v>10</v>
      </c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BB203" s="4"/>
      <c r="BC203" s="4"/>
      <c r="BD203" s="4"/>
      <c r="BE203" s="4"/>
      <c r="BF203" s="4"/>
      <c r="BG203" s="4"/>
      <c r="BH203" s="4"/>
      <c r="BI203" s="4"/>
    </row>
    <row r="204" spans="1:61" x14ac:dyDescent="0.2">
      <c r="A204" s="86">
        <v>173</v>
      </c>
      <c r="B204" s="11">
        <f>IF(Open[[#This Row],[PR Rang beim letzten Turnier]]&gt;Open[[#This Row],[PR Rang]],1,IF(Open[[#This Row],[PR Rang beim letzten Turnier]]=Open[[#This Row],[PR Rang]],0,-1))</f>
        <v>-1</v>
      </c>
      <c r="C204" s="194">
        <f>RANK(Open[[#This Row],[PR Punkte]],Open[PR Punkte],0)</f>
        <v>195</v>
      </c>
      <c r="D204" s="33" t="s">
        <v>654</v>
      </c>
      <c r="E204" s="11" t="s">
        <v>11</v>
      </c>
      <c r="F204" s="195">
        <f>SUM(Open[[#This Row],[PR 1]:[PR 3]])</f>
        <v>10</v>
      </c>
      <c r="G204" s="109">
        <f>LARGE(Open[[#This Row],[TS SH O 22.02.22]:[PR3]],1)</f>
        <v>10</v>
      </c>
      <c r="H204" s="109">
        <f>LARGE(Open[[#This Row],[TS SH O 22.02.22]:[PR3]],2)</f>
        <v>0</v>
      </c>
      <c r="I204" s="109">
        <f>LARGE(Open[[#This Row],[TS SH O 22.02.22]:[PR3]],3)</f>
        <v>0</v>
      </c>
      <c r="J204" s="196">
        <f>RANK(K204,$K$7:$K$361,0)</f>
        <v>195</v>
      </c>
      <c r="K204" s="109">
        <f>SUM(L204:W204)</f>
        <v>10</v>
      </c>
      <c r="L204" s="109"/>
      <c r="M204" s="109" t="str">
        <f>IFERROR(VLOOKUP(Open[[#This Row],[TS SH O 23.04.22 Rang]],$AJ$16:$AK$111,2,0)*M$5," ")</f>
        <v xml:space="preserve"> </v>
      </c>
      <c r="N204" s="109" t="str">
        <f>IFERROR(VLOOKUP(Open[[#This Row],[TS LA O 08.05.22 Rang]],$AJ$16:$AK$111,2,0)*N$5," ")</f>
        <v xml:space="preserve"> </v>
      </c>
      <c r="O204" s="109" t="str">
        <f>IFERROR(VLOOKUP(Open[[#This Row],[TS SG O 25.05.22 Rang]],$AJ$16:$AK$111,2,0)*O$5," ")</f>
        <v xml:space="preserve"> </v>
      </c>
      <c r="P204" s="109" t="str">
        <f>IFERROR(VLOOKUP(Open[[#This Row],[TS SH O 25.06.22 Rang]],$AJ$16:$AK$111,2,0)*P$5," ")</f>
        <v xml:space="preserve"> </v>
      </c>
      <c r="Q204" s="109" t="str">
        <f>IFERROR(VLOOKUP(Open[[#This Row],[TS ZH O/A 25.06.22 Rang]],$AJ$16:$AK$111,2,0)*Q$5," ")</f>
        <v xml:space="preserve"> </v>
      </c>
      <c r="R204" s="109" t="str">
        <f>IFERROR(VLOOKUP(Open[[#This Row],[TS ZH O/B 25.06.22 Rang]],$AJ$16:$AK$111,2,0)*R$5," ")</f>
        <v xml:space="preserve"> </v>
      </c>
      <c r="S204" s="109" t="str">
        <f>IFERROR(VLOOKUP(Open[[#This Row],[SM BE O/A 09.07.22 Rang]],$AJ$16:$AK$111,2,0)*S$5," ")</f>
        <v xml:space="preserve"> </v>
      </c>
      <c r="T204" s="109">
        <f>IFERROR(VLOOKUP(Open[[#This Row],[SM BE O/B 09.07.22 Rang]],$AJ$16:$AK$111,2,0)*T$5," ")</f>
        <v>10</v>
      </c>
      <c r="U204" s="11">
        <v>0</v>
      </c>
      <c r="V204" s="11">
        <v>0</v>
      </c>
      <c r="W204" s="11">
        <v>0</v>
      </c>
      <c r="X204" s="129"/>
      <c r="Y204" s="191"/>
      <c r="Z204" s="191"/>
      <c r="AA204" s="191"/>
      <c r="AB204" s="191"/>
      <c r="AC204" s="191"/>
      <c r="AD204" s="191"/>
      <c r="AE204" s="191"/>
      <c r="AF204" s="191">
        <v>10</v>
      </c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BB204" s="4"/>
      <c r="BC204" s="4"/>
      <c r="BD204" s="4"/>
      <c r="BE204" s="4"/>
      <c r="BF204" s="4"/>
      <c r="BG204" s="4"/>
      <c r="BH204" s="4"/>
      <c r="BI204" s="4"/>
    </row>
    <row r="205" spans="1:61" x14ac:dyDescent="0.2">
      <c r="A205" s="86">
        <v>173</v>
      </c>
      <c r="B205" s="11">
        <f>IF(Open[[#This Row],[PR Rang beim letzten Turnier]]&gt;Open[[#This Row],[PR Rang]],1,IF(Open[[#This Row],[PR Rang beim letzten Turnier]]=Open[[#This Row],[PR Rang]],0,-1))</f>
        <v>-1</v>
      </c>
      <c r="C205" s="194">
        <f>RANK(Open[[#This Row],[PR Punkte]],Open[PR Punkte],0)</f>
        <v>195</v>
      </c>
      <c r="D205" s="33" t="s">
        <v>655</v>
      </c>
      <c r="E205" s="11" t="s">
        <v>11</v>
      </c>
      <c r="F205" s="195">
        <f>SUM(Open[[#This Row],[PR 1]:[PR 3]])</f>
        <v>10</v>
      </c>
      <c r="G205" s="109">
        <f>LARGE(Open[[#This Row],[TS SH O 22.02.22]:[PR3]],1)</f>
        <v>10</v>
      </c>
      <c r="H205" s="109">
        <f>LARGE(Open[[#This Row],[TS SH O 22.02.22]:[PR3]],2)</f>
        <v>0</v>
      </c>
      <c r="I205" s="109">
        <f>LARGE(Open[[#This Row],[TS SH O 22.02.22]:[PR3]],3)</f>
        <v>0</v>
      </c>
      <c r="J205" s="196">
        <f>RANK(K205,$K$7:$K$361,0)</f>
        <v>195</v>
      </c>
      <c r="K205" s="109">
        <f>SUM(L205:W205)</f>
        <v>10</v>
      </c>
      <c r="L205" s="109"/>
      <c r="M205" s="109" t="str">
        <f>IFERROR(VLOOKUP(Open[[#This Row],[TS SH O 23.04.22 Rang]],$AJ$16:$AK$111,2,0)*M$5," ")</f>
        <v xml:space="preserve"> </v>
      </c>
      <c r="N205" s="109" t="str">
        <f>IFERROR(VLOOKUP(Open[[#This Row],[TS LA O 08.05.22 Rang]],$AJ$16:$AK$111,2,0)*N$5," ")</f>
        <v xml:space="preserve"> </v>
      </c>
      <c r="O205" s="109" t="str">
        <f>IFERROR(VLOOKUP(Open[[#This Row],[TS SG O 25.05.22 Rang]],$AJ$16:$AK$111,2,0)*O$5," ")</f>
        <v xml:space="preserve"> </v>
      </c>
      <c r="P205" s="109" t="str">
        <f>IFERROR(VLOOKUP(Open[[#This Row],[TS SH O 25.06.22 Rang]],$AJ$16:$AK$111,2,0)*P$5," ")</f>
        <v xml:space="preserve"> </v>
      </c>
      <c r="Q205" s="109" t="str">
        <f>IFERROR(VLOOKUP(Open[[#This Row],[TS ZH O/A 25.06.22 Rang]],$AJ$16:$AK$111,2,0)*Q$5," ")</f>
        <v xml:space="preserve"> </v>
      </c>
      <c r="R205" s="109" t="str">
        <f>IFERROR(VLOOKUP(Open[[#This Row],[TS ZH O/B 25.06.22 Rang]],$AJ$16:$AK$111,2,0)*R$5," ")</f>
        <v xml:space="preserve"> </v>
      </c>
      <c r="S205" s="109" t="str">
        <f>IFERROR(VLOOKUP(Open[[#This Row],[SM BE O/A 09.07.22 Rang]],$AJ$16:$AK$111,2,0)*S$5," ")</f>
        <v xml:space="preserve"> </v>
      </c>
      <c r="T205" s="109">
        <f>IFERROR(VLOOKUP(Open[[#This Row],[SM BE O/B 09.07.22 Rang]],$AJ$16:$AK$111,2,0)*T$5," ")</f>
        <v>10</v>
      </c>
      <c r="U205" s="11">
        <v>0</v>
      </c>
      <c r="V205" s="11">
        <v>0</v>
      </c>
      <c r="W205" s="11">
        <v>0</v>
      </c>
      <c r="X205" s="129"/>
      <c r="Y205" s="191"/>
      <c r="Z205" s="191"/>
      <c r="AA205" s="191"/>
      <c r="AB205" s="191"/>
      <c r="AC205" s="191"/>
      <c r="AD205" s="191"/>
      <c r="AE205" s="191"/>
      <c r="AF205" s="191">
        <v>11</v>
      </c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BB205" s="4"/>
      <c r="BC205" s="4"/>
      <c r="BD205" s="4"/>
      <c r="BE205" s="4"/>
      <c r="BF205" s="4"/>
      <c r="BG205" s="4"/>
      <c r="BH205" s="4"/>
      <c r="BI205" s="4"/>
    </row>
    <row r="206" spans="1:61" x14ac:dyDescent="0.2">
      <c r="A206" s="86">
        <v>173</v>
      </c>
      <c r="B206" s="11">
        <f>IF(Open[[#This Row],[PR Rang beim letzten Turnier]]&gt;Open[[#This Row],[PR Rang]],1,IF(Open[[#This Row],[PR Rang beim letzten Turnier]]=Open[[#This Row],[PR Rang]],0,-1))</f>
        <v>-1</v>
      </c>
      <c r="C206" s="194">
        <f>RANK(Open[[#This Row],[PR Punkte]],Open[PR Punkte],0)</f>
        <v>195</v>
      </c>
      <c r="D206" s="9" t="s">
        <v>656</v>
      </c>
      <c r="E206" s="11" t="s">
        <v>11</v>
      </c>
      <c r="F206" s="195">
        <f>SUM(Open[[#This Row],[PR 1]:[PR 3]])</f>
        <v>10</v>
      </c>
      <c r="G206" s="109">
        <f>LARGE(Open[[#This Row],[TS SH O 22.02.22]:[PR3]],1)</f>
        <v>10</v>
      </c>
      <c r="H206" s="109">
        <f>LARGE(Open[[#This Row],[TS SH O 22.02.22]:[PR3]],2)</f>
        <v>0</v>
      </c>
      <c r="I206" s="109">
        <f>LARGE(Open[[#This Row],[TS SH O 22.02.22]:[PR3]],3)</f>
        <v>0</v>
      </c>
      <c r="J206" s="196">
        <f>RANK(K206,$K$7:$K$361,0)</f>
        <v>195</v>
      </c>
      <c r="K206" s="109">
        <f>SUM(L206:W206)</f>
        <v>10</v>
      </c>
      <c r="L206" s="109"/>
      <c r="M206" s="109" t="str">
        <f>IFERROR(VLOOKUP(Open[[#This Row],[TS SH O 23.04.22 Rang]],$AJ$16:$AK$111,2,0)*M$5," ")</f>
        <v xml:space="preserve"> </v>
      </c>
      <c r="N206" s="109" t="str">
        <f>IFERROR(VLOOKUP(Open[[#This Row],[TS LA O 08.05.22 Rang]],$AJ$16:$AK$111,2,0)*N$5," ")</f>
        <v xml:space="preserve"> </v>
      </c>
      <c r="O206" s="109" t="str">
        <f>IFERROR(VLOOKUP(Open[[#This Row],[TS SG O 25.05.22 Rang]],$AJ$16:$AK$111,2,0)*O$5," ")</f>
        <v xml:space="preserve"> </v>
      </c>
      <c r="P206" s="109" t="str">
        <f>IFERROR(VLOOKUP(Open[[#This Row],[TS SH O 25.06.22 Rang]],$AJ$16:$AK$111,2,0)*P$5," ")</f>
        <v xml:space="preserve"> </v>
      </c>
      <c r="Q206" s="109" t="str">
        <f>IFERROR(VLOOKUP(Open[[#This Row],[TS ZH O/A 25.06.22 Rang]],$AJ$16:$AK$111,2,0)*Q$5," ")</f>
        <v xml:space="preserve"> </v>
      </c>
      <c r="R206" s="109" t="str">
        <f>IFERROR(VLOOKUP(Open[[#This Row],[TS ZH O/B 25.06.22 Rang]],$AJ$16:$AK$111,2,0)*R$5," ")</f>
        <v xml:space="preserve"> </v>
      </c>
      <c r="S206" s="109" t="str">
        <f>IFERROR(VLOOKUP(Open[[#This Row],[SM BE O/A 09.07.22 Rang]],$AJ$16:$AK$111,2,0)*S$5," ")</f>
        <v xml:space="preserve"> </v>
      </c>
      <c r="T206" s="109">
        <f>IFERROR(VLOOKUP(Open[[#This Row],[SM BE O/B 09.07.22 Rang]],$AJ$16:$AK$111,2,0)*T$5," ")</f>
        <v>10</v>
      </c>
      <c r="U206" s="11">
        <v>0</v>
      </c>
      <c r="V206" s="11">
        <v>0</v>
      </c>
      <c r="W206" s="11">
        <v>0</v>
      </c>
      <c r="X206" s="129"/>
      <c r="Y206" s="191"/>
      <c r="Z206" s="191"/>
      <c r="AA206" s="191"/>
      <c r="AB206" s="191"/>
      <c r="AC206" s="191"/>
      <c r="AD206" s="191"/>
      <c r="AE206" s="191"/>
      <c r="AF206" s="191">
        <v>11</v>
      </c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BB206" s="4"/>
      <c r="BC206" s="4"/>
      <c r="BD206" s="4"/>
      <c r="BE206" s="4"/>
      <c r="BF206" s="4"/>
      <c r="BG206" s="4"/>
      <c r="BH206" s="4"/>
      <c r="BI206" s="4"/>
    </row>
    <row r="207" spans="1:61" x14ac:dyDescent="0.2">
      <c r="A207" s="86">
        <v>173</v>
      </c>
      <c r="B207" s="11">
        <f>IF(Open[[#This Row],[PR Rang beim letzten Turnier]]&gt;Open[[#This Row],[PR Rang]],1,IF(Open[[#This Row],[PR Rang beim letzten Turnier]]=Open[[#This Row],[PR Rang]],0,-1))</f>
        <v>-1</v>
      </c>
      <c r="C207" s="194">
        <f>RANK(Open[[#This Row],[PR Punkte]],Open[PR Punkte],0)</f>
        <v>195</v>
      </c>
      <c r="D207" s="9" t="s">
        <v>657</v>
      </c>
      <c r="E207" s="11" t="s">
        <v>16</v>
      </c>
      <c r="F207" s="195">
        <f>SUM(Open[[#This Row],[PR 1]:[PR 3]])</f>
        <v>10</v>
      </c>
      <c r="G207" s="109">
        <f>LARGE(Open[[#This Row],[TS SH O 22.02.22]:[PR3]],1)</f>
        <v>10</v>
      </c>
      <c r="H207" s="109">
        <f>LARGE(Open[[#This Row],[TS SH O 22.02.22]:[PR3]],2)</f>
        <v>0</v>
      </c>
      <c r="I207" s="109">
        <f>LARGE(Open[[#This Row],[TS SH O 22.02.22]:[PR3]],3)</f>
        <v>0</v>
      </c>
      <c r="J207" s="196">
        <f>RANK(K207,$K$7:$K$361,0)</f>
        <v>195</v>
      </c>
      <c r="K207" s="109">
        <f>SUM(L207:W207)</f>
        <v>10</v>
      </c>
      <c r="L207" s="109"/>
      <c r="M207" s="109" t="str">
        <f>IFERROR(VLOOKUP(Open[[#This Row],[TS SH O 23.04.22 Rang]],$AJ$16:$AK$111,2,0)*M$5," ")</f>
        <v xml:space="preserve"> </v>
      </c>
      <c r="N207" s="109" t="str">
        <f>IFERROR(VLOOKUP(Open[[#This Row],[TS LA O 08.05.22 Rang]],$AJ$16:$AK$111,2,0)*N$5," ")</f>
        <v xml:space="preserve"> </v>
      </c>
      <c r="O207" s="109" t="str">
        <f>IFERROR(VLOOKUP(Open[[#This Row],[TS SG O 25.05.22 Rang]],$AJ$16:$AK$111,2,0)*O$5," ")</f>
        <v xml:space="preserve"> </v>
      </c>
      <c r="P207" s="109" t="str">
        <f>IFERROR(VLOOKUP(Open[[#This Row],[TS SH O 25.06.22 Rang]],$AJ$16:$AK$111,2,0)*P$5," ")</f>
        <v xml:space="preserve"> </v>
      </c>
      <c r="Q207" s="109" t="str">
        <f>IFERROR(VLOOKUP(Open[[#This Row],[TS ZH O/A 25.06.22 Rang]],$AJ$16:$AK$111,2,0)*Q$5," ")</f>
        <v xml:space="preserve"> </v>
      </c>
      <c r="R207" s="109" t="str">
        <f>IFERROR(VLOOKUP(Open[[#This Row],[TS ZH O/B 25.06.22 Rang]],$AJ$16:$AK$111,2,0)*R$5," ")</f>
        <v xml:space="preserve"> </v>
      </c>
      <c r="S207" s="109" t="str">
        <f>IFERROR(VLOOKUP(Open[[#This Row],[SM BE O/A 09.07.22 Rang]],$AJ$16:$AK$111,2,0)*S$5," ")</f>
        <v xml:space="preserve"> </v>
      </c>
      <c r="T207" s="109">
        <f>IFERROR(VLOOKUP(Open[[#This Row],[SM BE O/B 09.07.22 Rang]],$AJ$16:$AK$111,2,0)*T$5," ")</f>
        <v>10</v>
      </c>
      <c r="U207" s="11">
        <v>0</v>
      </c>
      <c r="V207" s="11">
        <v>0</v>
      </c>
      <c r="W207" s="11">
        <v>0</v>
      </c>
      <c r="X207" s="129"/>
      <c r="Y207" s="191"/>
      <c r="Z207" s="191"/>
      <c r="AA207" s="191"/>
      <c r="AB207" s="191"/>
      <c r="AC207" s="191"/>
      <c r="AD207" s="191"/>
      <c r="AE207" s="191"/>
      <c r="AF207" s="191">
        <v>12</v>
      </c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BB207" s="4"/>
      <c r="BC207" s="4"/>
      <c r="BD207" s="4"/>
      <c r="BE207" s="4"/>
      <c r="BF207" s="4"/>
      <c r="BG207" s="4"/>
      <c r="BH207" s="4"/>
      <c r="BI207" s="4"/>
    </row>
    <row r="208" spans="1:61" x14ac:dyDescent="0.2">
      <c r="A208" s="86">
        <v>173</v>
      </c>
      <c r="B208" s="11">
        <f>IF(Open[[#This Row],[PR Rang beim letzten Turnier]]&gt;Open[[#This Row],[PR Rang]],1,IF(Open[[#This Row],[PR Rang beim letzten Turnier]]=Open[[#This Row],[PR Rang]],0,-1))</f>
        <v>-1</v>
      </c>
      <c r="C208" s="194">
        <f>RANK(Open[[#This Row],[PR Punkte]],Open[PR Punkte],0)</f>
        <v>195</v>
      </c>
      <c r="D208" s="33" t="s">
        <v>658</v>
      </c>
      <c r="E208" s="11" t="s">
        <v>16</v>
      </c>
      <c r="F208" s="195">
        <f>SUM(Open[[#This Row],[PR 1]:[PR 3]])</f>
        <v>10</v>
      </c>
      <c r="G208" s="109">
        <f>LARGE(Open[[#This Row],[TS SH O 22.02.22]:[PR3]],1)</f>
        <v>10</v>
      </c>
      <c r="H208" s="109">
        <f>LARGE(Open[[#This Row],[TS SH O 22.02.22]:[PR3]],2)</f>
        <v>0</v>
      </c>
      <c r="I208" s="109">
        <f>LARGE(Open[[#This Row],[TS SH O 22.02.22]:[PR3]],3)</f>
        <v>0</v>
      </c>
      <c r="J208" s="196">
        <f>RANK(K208,$K$7:$K$361,0)</f>
        <v>195</v>
      </c>
      <c r="K208" s="109">
        <f>SUM(L208:W208)</f>
        <v>10</v>
      </c>
      <c r="L208" s="109"/>
      <c r="M208" s="109" t="str">
        <f>IFERROR(VLOOKUP(Open[[#This Row],[TS SH O 23.04.22 Rang]],$AJ$16:$AK$111,2,0)*M$5," ")</f>
        <v xml:space="preserve"> </v>
      </c>
      <c r="N208" s="109" t="str">
        <f>IFERROR(VLOOKUP(Open[[#This Row],[TS LA O 08.05.22 Rang]],$AJ$16:$AK$111,2,0)*N$5," ")</f>
        <v xml:space="preserve"> </v>
      </c>
      <c r="O208" s="109" t="str">
        <f>IFERROR(VLOOKUP(Open[[#This Row],[TS SG O 25.05.22 Rang]],$AJ$16:$AK$111,2,0)*O$5," ")</f>
        <v xml:space="preserve"> </v>
      </c>
      <c r="P208" s="109" t="str">
        <f>IFERROR(VLOOKUP(Open[[#This Row],[TS SH O 25.06.22 Rang]],$AJ$16:$AK$111,2,0)*P$5," ")</f>
        <v xml:space="preserve"> </v>
      </c>
      <c r="Q208" s="109" t="str">
        <f>IFERROR(VLOOKUP(Open[[#This Row],[TS ZH O/A 25.06.22 Rang]],$AJ$16:$AK$111,2,0)*Q$5," ")</f>
        <v xml:space="preserve"> </v>
      </c>
      <c r="R208" s="109" t="str">
        <f>IFERROR(VLOOKUP(Open[[#This Row],[TS ZH O/B 25.06.22 Rang]],$AJ$16:$AK$111,2,0)*R$5," ")</f>
        <v xml:space="preserve"> </v>
      </c>
      <c r="S208" s="109" t="str">
        <f>IFERROR(VLOOKUP(Open[[#This Row],[SM BE O/A 09.07.22 Rang]],$AJ$16:$AK$111,2,0)*S$5," ")</f>
        <v xml:space="preserve"> </v>
      </c>
      <c r="T208" s="109">
        <f>IFERROR(VLOOKUP(Open[[#This Row],[SM BE O/B 09.07.22 Rang]],$AJ$16:$AK$111,2,0)*T$5," ")</f>
        <v>10</v>
      </c>
      <c r="U208" s="11">
        <v>0</v>
      </c>
      <c r="V208" s="11">
        <v>0</v>
      </c>
      <c r="W208" s="11">
        <v>0</v>
      </c>
      <c r="X208" s="129"/>
      <c r="Y208" s="191"/>
      <c r="Z208" s="191"/>
      <c r="AA208" s="191"/>
      <c r="AB208" s="191"/>
      <c r="AC208" s="191"/>
      <c r="AD208" s="191"/>
      <c r="AE208" s="191"/>
      <c r="AF208" s="191">
        <v>12</v>
      </c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BB208" s="4"/>
      <c r="BC208" s="4"/>
      <c r="BD208" s="4"/>
      <c r="BE208" s="4"/>
      <c r="BF208" s="4"/>
      <c r="BG208" s="4"/>
      <c r="BH208" s="4"/>
      <c r="BI208" s="4"/>
    </row>
    <row r="209" spans="1:61" x14ac:dyDescent="0.2">
      <c r="A209" s="86">
        <v>173</v>
      </c>
      <c r="B209" s="11">
        <f>IF(Open[[#This Row],[PR Rang beim letzten Turnier]]&gt;Open[[#This Row],[PR Rang]],1,IF(Open[[#This Row],[PR Rang beim letzten Turnier]]=Open[[#This Row],[PR Rang]],0,-1))</f>
        <v>-1</v>
      </c>
      <c r="C209" s="194">
        <f>RANK(Open[[#This Row],[PR Punkte]],Open[PR Punkte],0)</f>
        <v>195</v>
      </c>
      <c r="D209" s="33" t="s">
        <v>659</v>
      </c>
      <c r="E209" s="11" t="s">
        <v>10</v>
      </c>
      <c r="F209" s="195">
        <f>SUM(Open[[#This Row],[PR 1]:[PR 3]])</f>
        <v>10</v>
      </c>
      <c r="G209" s="109">
        <f>LARGE(Open[[#This Row],[TS SH O 22.02.22]:[PR3]],1)</f>
        <v>10</v>
      </c>
      <c r="H209" s="109">
        <f>LARGE(Open[[#This Row],[TS SH O 22.02.22]:[PR3]],2)</f>
        <v>0</v>
      </c>
      <c r="I209" s="109">
        <f>LARGE(Open[[#This Row],[TS SH O 22.02.22]:[PR3]],3)</f>
        <v>0</v>
      </c>
      <c r="J209" s="196">
        <f>RANK(K209,$K$7:$K$361,0)</f>
        <v>195</v>
      </c>
      <c r="K209" s="109">
        <f>SUM(L209:W209)</f>
        <v>10</v>
      </c>
      <c r="L209" s="109"/>
      <c r="M209" s="109" t="str">
        <f>IFERROR(VLOOKUP(Open[[#This Row],[TS SH O 23.04.22 Rang]],$AJ$16:$AK$111,2,0)*M$5," ")</f>
        <v xml:space="preserve"> </v>
      </c>
      <c r="N209" s="109" t="str">
        <f>IFERROR(VLOOKUP(Open[[#This Row],[TS LA O 08.05.22 Rang]],$AJ$16:$AK$111,2,0)*N$5," ")</f>
        <v xml:space="preserve"> </v>
      </c>
      <c r="O209" s="109" t="str">
        <f>IFERROR(VLOOKUP(Open[[#This Row],[TS SG O 25.05.22 Rang]],$AJ$16:$AK$111,2,0)*O$5," ")</f>
        <v xml:space="preserve"> </v>
      </c>
      <c r="P209" s="109" t="str">
        <f>IFERROR(VLOOKUP(Open[[#This Row],[TS SH O 25.06.22 Rang]],$AJ$16:$AK$111,2,0)*P$5," ")</f>
        <v xml:space="preserve"> </v>
      </c>
      <c r="Q209" s="109" t="str">
        <f>IFERROR(VLOOKUP(Open[[#This Row],[TS ZH O/A 25.06.22 Rang]],$AJ$16:$AK$111,2,0)*Q$5," ")</f>
        <v xml:space="preserve"> </v>
      </c>
      <c r="R209" s="109" t="str">
        <f>IFERROR(VLOOKUP(Open[[#This Row],[TS ZH O/B 25.06.22 Rang]],$AJ$16:$AK$111,2,0)*R$5," ")</f>
        <v xml:space="preserve"> </v>
      </c>
      <c r="S209" s="109" t="str">
        <f>IFERROR(VLOOKUP(Open[[#This Row],[SM BE O/A 09.07.22 Rang]],$AJ$16:$AK$111,2,0)*S$5," ")</f>
        <v xml:space="preserve"> </v>
      </c>
      <c r="T209" s="109">
        <f>IFERROR(VLOOKUP(Open[[#This Row],[SM BE O/B 09.07.22 Rang]],$AJ$16:$AK$111,2,0)*T$5," ")</f>
        <v>10</v>
      </c>
      <c r="U209" s="11">
        <v>0</v>
      </c>
      <c r="V209" s="11">
        <v>0</v>
      </c>
      <c r="W209" s="11">
        <v>0</v>
      </c>
      <c r="X209" s="129"/>
      <c r="Y209" s="191"/>
      <c r="Z209" s="191"/>
      <c r="AA209" s="191"/>
      <c r="AB209" s="191"/>
      <c r="AC209" s="191"/>
      <c r="AD209" s="191"/>
      <c r="AE209" s="191"/>
      <c r="AF209" s="191">
        <v>14</v>
      </c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BB209" s="4"/>
      <c r="BC209" s="4"/>
      <c r="BD209" s="4"/>
      <c r="BE209" s="4"/>
      <c r="BF209" s="4"/>
      <c r="BG209" s="4"/>
      <c r="BH209" s="4"/>
      <c r="BI209" s="4"/>
    </row>
    <row r="210" spans="1:61" x14ac:dyDescent="0.2">
      <c r="A210" s="86">
        <v>173</v>
      </c>
      <c r="B210" s="11">
        <f>IF(Open[[#This Row],[PR Rang beim letzten Turnier]]&gt;Open[[#This Row],[PR Rang]],1,IF(Open[[#This Row],[PR Rang beim letzten Turnier]]=Open[[#This Row],[PR Rang]],0,-1))</f>
        <v>-1</v>
      </c>
      <c r="C210" s="194">
        <f>RANK(Open[[#This Row],[PR Punkte]],Open[PR Punkte],0)</f>
        <v>195</v>
      </c>
      <c r="D210" s="33" t="s">
        <v>660</v>
      </c>
      <c r="E210" s="11" t="s">
        <v>10</v>
      </c>
      <c r="F210" s="195">
        <f>SUM(Open[[#This Row],[PR 1]:[PR 3]])</f>
        <v>10</v>
      </c>
      <c r="G210" s="109">
        <f>LARGE(Open[[#This Row],[TS SH O 22.02.22]:[PR3]],1)</f>
        <v>10</v>
      </c>
      <c r="H210" s="109">
        <f>LARGE(Open[[#This Row],[TS SH O 22.02.22]:[PR3]],2)</f>
        <v>0</v>
      </c>
      <c r="I210" s="109">
        <f>LARGE(Open[[#This Row],[TS SH O 22.02.22]:[PR3]],3)</f>
        <v>0</v>
      </c>
      <c r="J210" s="196">
        <f>RANK(K210,$K$7:$K$361,0)</f>
        <v>195</v>
      </c>
      <c r="K210" s="109">
        <f>SUM(L210:W210)</f>
        <v>10</v>
      </c>
      <c r="L210" s="109"/>
      <c r="M210" s="109" t="str">
        <f>IFERROR(VLOOKUP(Open[[#This Row],[TS SH O 23.04.22 Rang]],$AJ$16:$AK$111,2,0)*M$5," ")</f>
        <v xml:space="preserve"> </v>
      </c>
      <c r="N210" s="109" t="str">
        <f>IFERROR(VLOOKUP(Open[[#This Row],[TS LA O 08.05.22 Rang]],$AJ$16:$AK$111,2,0)*N$5," ")</f>
        <v xml:space="preserve"> </v>
      </c>
      <c r="O210" s="109" t="str">
        <f>IFERROR(VLOOKUP(Open[[#This Row],[TS SG O 25.05.22 Rang]],$AJ$16:$AK$111,2,0)*O$5," ")</f>
        <v xml:space="preserve"> </v>
      </c>
      <c r="P210" s="109" t="str">
        <f>IFERROR(VLOOKUP(Open[[#This Row],[TS SH O 25.06.22 Rang]],$AJ$16:$AK$111,2,0)*P$5," ")</f>
        <v xml:space="preserve"> </v>
      </c>
      <c r="Q210" s="109" t="str">
        <f>IFERROR(VLOOKUP(Open[[#This Row],[TS ZH O/A 25.06.22 Rang]],$AJ$16:$AK$111,2,0)*Q$5," ")</f>
        <v xml:space="preserve"> </v>
      </c>
      <c r="R210" s="109" t="str">
        <f>IFERROR(VLOOKUP(Open[[#This Row],[TS ZH O/B 25.06.22 Rang]],$AJ$16:$AK$111,2,0)*R$5," ")</f>
        <v xml:space="preserve"> </v>
      </c>
      <c r="S210" s="109" t="str">
        <f>IFERROR(VLOOKUP(Open[[#This Row],[SM BE O/A 09.07.22 Rang]],$AJ$16:$AK$111,2,0)*S$5," ")</f>
        <v xml:space="preserve"> </v>
      </c>
      <c r="T210" s="109">
        <f>IFERROR(VLOOKUP(Open[[#This Row],[SM BE O/B 09.07.22 Rang]],$AJ$16:$AK$111,2,0)*T$5," ")</f>
        <v>10</v>
      </c>
      <c r="U210" s="11">
        <v>0</v>
      </c>
      <c r="V210" s="11">
        <v>0</v>
      </c>
      <c r="W210" s="11">
        <v>0</v>
      </c>
      <c r="X210" s="129"/>
      <c r="Y210" s="191"/>
      <c r="Z210" s="191"/>
      <c r="AA210" s="191"/>
      <c r="AB210" s="191"/>
      <c r="AC210" s="191"/>
      <c r="AD210" s="191"/>
      <c r="AE210" s="191"/>
      <c r="AF210" s="191">
        <v>14</v>
      </c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BB210" s="4"/>
      <c r="BC210" s="4"/>
      <c r="BD210" s="4"/>
      <c r="BE210" s="4"/>
      <c r="BF210" s="4"/>
      <c r="BG210" s="4"/>
      <c r="BH210" s="4"/>
      <c r="BI210" s="4"/>
    </row>
    <row r="211" spans="1:61" x14ac:dyDescent="0.2">
      <c r="A211" s="17">
        <v>173</v>
      </c>
      <c r="B211" s="17">
        <f>IF(Open[[#This Row],[PR Rang beim letzten Turnier]]&gt;Open[[#This Row],[PR Rang]],1,IF(Open[[#This Row],[PR Rang beim letzten Turnier]]=Open[[#This Row],[PR Rang]],0,-1))</f>
        <v>-1</v>
      </c>
      <c r="C211" s="112">
        <f>RANK(Open[[#This Row],[PR Punkte]],Open[PR Punkte],0)</f>
        <v>205</v>
      </c>
      <c r="D211" s="43" t="s">
        <v>321</v>
      </c>
      <c r="E211" s="11" t="s">
        <v>18</v>
      </c>
      <c r="F211" s="109">
        <f>SUM(Open[[#This Row],[PR 1]:[PR 3]])</f>
        <v>0</v>
      </c>
      <c r="G211" s="109">
        <f>LARGE(Open[[#This Row],[TS SH O 22.02.22]:[PR3]],1)</f>
        <v>0</v>
      </c>
      <c r="H211" s="109">
        <f>LARGE(Open[[#This Row],[TS SH O 22.02.22]:[PR3]],2)</f>
        <v>0</v>
      </c>
      <c r="I211" s="109">
        <f>LARGE(Open[[#This Row],[TS SH O 22.02.22]:[PR3]],3)</f>
        <v>0</v>
      </c>
      <c r="J211" s="11">
        <f>RANK(K211,$K$7:$K$295,0)</f>
        <v>205</v>
      </c>
      <c r="K211" s="109">
        <f>SUM(L211:W211)</f>
        <v>0</v>
      </c>
      <c r="L211" s="109" t="str">
        <f>IFERROR(VLOOKUP(Open[[#This Row],[TS SH 22.02.22 Rang]],$AJ$16:$AK$111,2,0)*L$5," ")</f>
        <v xml:space="preserve"> </v>
      </c>
      <c r="M211" s="109" t="str">
        <f>IFERROR(VLOOKUP(Open[[#This Row],[TS SH O 23.04.22 Rang]],$AJ$16:$AK$111,2,0)*M$5," ")</f>
        <v xml:space="preserve"> </v>
      </c>
      <c r="N211" s="109" t="str">
        <f>IFERROR(VLOOKUP(Open[[#This Row],[TS LA O 08.05.22 Rang]],$AJ$16:$AK$111,2,0)*N$5," ")</f>
        <v xml:space="preserve"> </v>
      </c>
      <c r="O211" s="109" t="str">
        <f>IFERROR(VLOOKUP(Open[[#This Row],[TS SG O 25.05.22 Rang]],$AJ$16:$AK$111,2,0)*O$5," ")</f>
        <v xml:space="preserve"> </v>
      </c>
      <c r="P211" s="109" t="str">
        <f>IFERROR(VLOOKUP(Open[[#This Row],[TS SH O 25.06.22 Rang]],$AJ$16:$AK$111,2,0)*P$5," ")</f>
        <v xml:space="preserve"> </v>
      </c>
      <c r="Q211" s="109" t="str">
        <f>IFERROR(VLOOKUP(Open[[#This Row],[TS ZH O/A 25.06.22 Rang]],$AJ$16:$AK$111,2,0)*Q$5," ")</f>
        <v xml:space="preserve"> </v>
      </c>
      <c r="R211" s="109" t="str">
        <f>IFERROR(VLOOKUP(Open[[#This Row],[TS ZH O/B 25.06.22 Rang]],$AJ$16:$AK$111,2,0)*R$5," ")</f>
        <v xml:space="preserve"> </v>
      </c>
      <c r="S211" s="109" t="str">
        <f>IFERROR(VLOOKUP(Open[[#This Row],[SM BE O/A 09.07.22 Rang]],$AJ$16:$AK$111,2,0)*S$5," ")</f>
        <v xml:space="preserve"> </v>
      </c>
      <c r="T211" s="109" t="str">
        <f>IFERROR(VLOOKUP(Open[[#This Row],[SM BE O/B 09.07.22 Rang]],$AJ$16:$AK$111,2,0)*T$5," ")</f>
        <v xml:space="preserve"> </v>
      </c>
      <c r="U211" s="11">
        <v>0</v>
      </c>
      <c r="V211" s="11">
        <v>0</v>
      </c>
      <c r="W211" s="11">
        <v>0</v>
      </c>
      <c r="X211" s="129"/>
      <c r="Y211" s="191"/>
      <c r="Z211" s="191"/>
      <c r="AA211" s="191"/>
      <c r="AB211" s="191"/>
      <c r="AC211" s="191"/>
      <c r="AD211" s="191"/>
      <c r="AE211" s="191"/>
      <c r="AF211" s="191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BB211" s="4"/>
      <c r="BC211" s="4"/>
      <c r="BD211" s="4"/>
      <c r="BE211" s="4"/>
      <c r="BF211" s="4"/>
      <c r="BG211" s="4"/>
      <c r="BH211" s="4"/>
      <c r="BI211" s="4"/>
    </row>
    <row r="212" spans="1:61" x14ac:dyDescent="0.2">
      <c r="A212" s="17">
        <v>173</v>
      </c>
      <c r="B212" s="17">
        <f>IF(Open[[#This Row],[PR Rang beim letzten Turnier]]&gt;Open[[#This Row],[PR Rang]],1,IF(Open[[#This Row],[PR Rang beim letzten Turnier]]=Open[[#This Row],[PR Rang]],0,-1))</f>
        <v>-1</v>
      </c>
      <c r="C212" s="112">
        <f>RANK(Open[[#This Row],[PR Punkte]],Open[PR Punkte],0)</f>
        <v>205</v>
      </c>
      <c r="D212" s="25" t="s">
        <v>322</v>
      </c>
      <c r="E212" s="11" t="s">
        <v>18</v>
      </c>
      <c r="F212" s="109">
        <f>SUM(Open[[#This Row],[PR 1]:[PR 3]])</f>
        <v>0</v>
      </c>
      <c r="G212" s="109">
        <f>LARGE(Open[[#This Row],[TS SH O 22.02.22]:[PR3]],1)</f>
        <v>0</v>
      </c>
      <c r="H212" s="109">
        <f>LARGE(Open[[#This Row],[TS SH O 22.02.22]:[PR3]],2)</f>
        <v>0</v>
      </c>
      <c r="I212" s="109">
        <f>LARGE(Open[[#This Row],[TS SH O 22.02.22]:[PR3]],3)</f>
        <v>0</v>
      </c>
      <c r="J212" s="31">
        <f>RANK(K212,$K$7:$K$295,0)</f>
        <v>205</v>
      </c>
      <c r="K212" s="109">
        <f>SUM(L212:W212)</f>
        <v>0</v>
      </c>
      <c r="L212" s="109" t="str">
        <f>IFERROR(VLOOKUP(Open[[#This Row],[TS SH 22.02.22 Rang]],$AJ$16:$AK$111,2,0)*L$5," ")</f>
        <v xml:space="preserve"> </v>
      </c>
      <c r="M212" s="109" t="str">
        <f>IFERROR(VLOOKUP(Open[[#This Row],[TS SH O 23.04.22 Rang]],$AJ$16:$AK$111,2,0)*M$5," ")</f>
        <v xml:space="preserve"> </v>
      </c>
      <c r="N212" s="109" t="str">
        <f>IFERROR(VLOOKUP(Open[[#This Row],[TS LA O 08.05.22 Rang]],$AJ$16:$AK$111,2,0)*N$5," ")</f>
        <v xml:space="preserve"> </v>
      </c>
      <c r="O212" s="109" t="str">
        <f>IFERROR(VLOOKUP(Open[[#This Row],[TS SG O 25.05.22 Rang]],$AJ$16:$AK$111,2,0)*O$5," ")</f>
        <v xml:space="preserve"> </v>
      </c>
      <c r="P212" s="109" t="str">
        <f>IFERROR(VLOOKUP(Open[[#This Row],[TS SH O 25.06.22 Rang]],$AJ$16:$AK$111,2,0)*P$5," ")</f>
        <v xml:space="preserve"> </v>
      </c>
      <c r="Q212" s="109" t="str">
        <f>IFERROR(VLOOKUP(Open[[#This Row],[TS ZH O/A 25.06.22 Rang]],$AJ$16:$AK$111,2,0)*Q$5," ")</f>
        <v xml:space="preserve"> </v>
      </c>
      <c r="R212" s="109" t="str">
        <f>IFERROR(VLOOKUP(Open[[#This Row],[TS ZH O/B 25.06.22 Rang]],$AJ$16:$AK$111,2,0)*R$5," ")</f>
        <v xml:space="preserve"> </v>
      </c>
      <c r="S212" s="109" t="str">
        <f>IFERROR(VLOOKUP(Open[[#This Row],[SM BE O/A 09.07.22 Rang]],$AJ$16:$AK$111,2,0)*S$5," ")</f>
        <v xml:space="preserve"> </v>
      </c>
      <c r="T212" s="109" t="str">
        <f>IFERROR(VLOOKUP(Open[[#This Row],[SM BE O/B 09.07.22 Rang]],$AJ$16:$AK$111,2,0)*T$5," ")</f>
        <v xml:space="preserve"> </v>
      </c>
      <c r="U212" s="11">
        <v>0</v>
      </c>
      <c r="V212" s="11">
        <v>0</v>
      </c>
      <c r="W212" s="11">
        <v>0</v>
      </c>
      <c r="X212" s="129"/>
      <c r="Y212" s="191"/>
      <c r="Z212" s="191"/>
      <c r="AA212" s="191"/>
      <c r="AB212" s="191"/>
      <c r="AC212" s="191"/>
      <c r="AD212" s="191"/>
      <c r="AE212" s="191"/>
      <c r="AF212" s="191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BB212" s="4"/>
      <c r="BC212" s="4"/>
      <c r="BD212" s="4"/>
      <c r="BE212" s="4"/>
      <c r="BF212" s="4"/>
      <c r="BG212" s="4"/>
      <c r="BH212" s="4"/>
      <c r="BI212" s="4"/>
    </row>
    <row r="213" spans="1:61" x14ac:dyDescent="0.2">
      <c r="A213" s="17">
        <v>173</v>
      </c>
      <c r="B213" s="17">
        <f>IF(Open[[#This Row],[PR Rang beim letzten Turnier]]&gt;Open[[#This Row],[PR Rang]],1,IF(Open[[#This Row],[PR Rang beim letzten Turnier]]=Open[[#This Row],[PR Rang]],0,-1))</f>
        <v>-1</v>
      </c>
      <c r="C213" s="112">
        <f>RANK(Open[[#This Row],[PR Punkte]],Open[PR Punkte],0)</f>
        <v>205</v>
      </c>
      <c r="D213" s="25" t="s">
        <v>370</v>
      </c>
      <c r="E213" s="11" t="s">
        <v>18</v>
      </c>
      <c r="F213" s="109">
        <f>SUM(Open[[#This Row],[PR 1]:[PR 3]])</f>
        <v>0</v>
      </c>
      <c r="G213" s="109">
        <f>LARGE(Open[[#This Row],[TS SH O 22.02.22]:[PR3]],1)</f>
        <v>0</v>
      </c>
      <c r="H213" s="109">
        <f>LARGE(Open[[#This Row],[TS SH O 22.02.22]:[PR3]],2)</f>
        <v>0</v>
      </c>
      <c r="I213" s="109">
        <f>LARGE(Open[[#This Row],[TS SH O 22.02.22]:[PR3]],3)</f>
        <v>0</v>
      </c>
      <c r="J213" s="31">
        <f>RANK(K213,$K$7:$K$295,0)</f>
        <v>205</v>
      </c>
      <c r="K213" s="109">
        <f>SUM(L213:W213)</f>
        <v>0</v>
      </c>
      <c r="L213" s="109" t="str">
        <f>IFERROR(VLOOKUP(Open[[#This Row],[TS SH 22.02.22 Rang]],$AJ$16:$AK$111,2,0)*L$5," ")</f>
        <v xml:space="preserve"> </v>
      </c>
      <c r="M213" s="109" t="str">
        <f>IFERROR(VLOOKUP(Open[[#This Row],[TS SH O 23.04.22 Rang]],$AJ$16:$AK$111,2,0)*M$5," ")</f>
        <v xml:space="preserve"> </v>
      </c>
      <c r="N213" s="109" t="str">
        <f>IFERROR(VLOOKUP(Open[[#This Row],[TS LA O 08.05.22 Rang]],$AJ$16:$AK$111,2,0)*N$5," ")</f>
        <v xml:space="preserve"> </v>
      </c>
      <c r="O213" s="109" t="str">
        <f>IFERROR(VLOOKUP(Open[[#This Row],[TS SG O 25.05.22 Rang]],$AJ$16:$AK$111,2,0)*O$5," ")</f>
        <v xml:space="preserve"> </v>
      </c>
      <c r="P213" s="109" t="str">
        <f>IFERROR(VLOOKUP(Open[[#This Row],[TS SH O 25.06.22 Rang]],$AJ$16:$AK$111,2,0)*P$5," ")</f>
        <v xml:space="preserve"> </v>
      </c>
      <c r="Q213" s="109" t="str">
        <f>IFERROR(VLOOKUP(Open[[#This Row],[TS ZH O/A 25.06.22 Rang]],$AJ$16:$AK$111,2,0)*Q$5," ")</f>
        <v xml:space="preserve"> </v>
      </c>
      <c r="R213" s="109" t="str">
        <f>IFERROR(VLOOKUP(Open[[#This Row],[TS ZH O/B 25.06.22 Rang]],$AJ$16:$AK$111,2,0)*R$5," ")</f>
        <v xml:space="preserve"> </v>
      </c>
      <c r="S213" s="109" t="str">
        <f>IFERROR(VLOOKUP(Open[[#This Row],[SM BE O/A 09.07.22 Rang]],$AJ$16:$AK$111,2,0)*S$5," ")</f>
        <v xml:space="preserve"> </v>
      </c>
      <c r="T213" s="109" t="str">
        <f>IFERROR(VLOOKUP(Open[[#This Row],[SM BE O/B 09.07.22 Rang]],$AJ$16:$AK$111,2,0)*T$5," ")</f>
        <v xml:space="preserve"> </v>
      </c>
      <c r="U213" s="11">
        <v>0</v>
      </c>
      <c r="V213" s="11">
        <v>0</v>
      </c>
      <c r="W213" s="11">
        <v>0</v>
      </c>
      <c r="X213" s="129"/>
      <c r="Y213" s="191"/>
      <c r="Z213" s="191"/>
      <c r="AA213" s="191"/>
      <c r="AB213" s="191"/>
      <c r="AC213" s="191"/>
      <c r="AD213" s="191"/>
      <c r="AE213" s="191"/>
      <c r="AF213" s="191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BB213" s="4"/>
      <c r="BC213" s="4"/>
      <c r="BD213" s="4"/>
      <c r="BE213" s="4"/>
      <c r="BF213" s="4"/>
      <c r="BG213" s="4"/>
      <c r="BH213" s="4"/>
      <c r="BI213" s="4"/>
    </row>
    <row r="214" spans="1:61" x14ac:dyDescent="0.2">
      <c r="A214" s="17">
        <v>173</v>
      </c>
      <c r="B214" s="17">
        <f>IF(Open[[#This Row],[PR Rang beim letzten Turnier]]&gt;Open[[#This Row],[PR Rang]],1,IF(Open[[#This Row],[PR Rang beim letzten Turnier]]=Open[[#This Row],[PR Rang]],0,-1))</f>
        <v>-1</v>
      </c>
      <c r="C214" s="112">
        <f>RANK(Open[[#This Row],[PR Punkte]],Open[PR Punkte],0)</f>
        <v>205</v>
      </c>
      <c r="D214" s="43" t="s">
        <v>371</v>
      </c>
      <c r="E214" s="11" t="s">
        <v>18</v>
      </c>
      <c r="F214" s="109">
        <f>SUM(Open[[#This Row],[PR 1]:[PR 3]])</f>
        <v>0</v>
      </c>
      <c r="G214" s="109">
        <f>LARGE(Open[[#This Row],[TS SH O 22.02.22]:[PR3]],1)</f>
        <v>0</v>
      </c>
      <c r="H214" s="109">
        <f>LARGE(Open[[#This Row],[TS SH O 22.02.22]:[PR3]],2)</f>
        <v>0</v>
      </c>
      <c r="I214" s="109">
        <f>LARGE(Open[[#This Row],[TS SH O 22.02.22]:[PR3]],3)</f>
        <v>0</v>
      </c>
      <c r="J214" s="11">
        <f>RANK(K214,$K$7:$K$295,0)</f>
        <v>205</v>
      </c>
      <c r="K214" s="109">
        <f>SUM(L214:W214)</f>
        <v>0</v>
      </c>
      <c r="L214" s="109" t="str">
        <f>IFERROR(VLOOKUP(Open[[#This Row],[TS SH 22.02.22 Rang]],$AJ$16:$AK$111,2,0)*L$5," ")</f>
        <v xml:space="preserve"> </v>
      </c>
      <c r="M214" s="109" t="str">
        <f>IFERROR(VLOOKUP(Open[[#This Row],[TS SH O 23.04.22 Rang]],$AJ$16:$AK$111,2,0)*M$5," ")</f>
        <v xml:space="preserve"> </v>
      </c>
      <c r="N214" s="109" t="str">
        <f>IFERROR(VLOOKUP(Open[[#This Row],[TS LA O 08.05.22 Rang]],$AJ$16:$AK$111,2,0)*N$5," ")</f>
        <v xml:space="preserve"> </v>
      </c>
      <c r="O214" s="109" t="str">
        <f>IFERROR(VLOOKUP(Open[[#This Row],[TS SG O 25.05.22 Rang]],$AJ$16:$AK$111,2,0)*O$5," ")</f>
        <v xml:space="preserve"> </v>
      </c>
      <c r="P214" s="109" t="str">
        <f>IFERROR(VLOOKUP(Open[[#This Row],[TS SH O 25.06.22 Rang]],$AJ$16:$AK$111,2,0)*P$5," ")</f>
        <v xml:space="preserve"> </v>
      </c>
      <c r="Q214" s="109" t="str">
        <f>IFERROR(VLOOKUP(Open[[#This Row],[TS ZH O/A 25.06.22 Rang]],$AJ$16:$AK$111,2,0)*Q$5," ")</f>
        <v xml:space="preserve"> </v>
      </c>
      <c r="R214" s="109" t="str">
        <f>IFERROR(VLOOKUP(Open[[#This Row],[TS ZH O/B 25.06.22 Rang]],$AJ$16:$AK$111,2,0)*R$5," ")</f>
        <v xml:space="preserve"> </v>
      </c>
      <c r="S214" s="109" t="str">
        <f>IFERROR(VLOOKUP(Open[[#This Row],[SM BE O/A 09.07.22 Rang]],$AJ$16:$AK$111,2,0)*S$5," ")</f>
        <v xml:space="preserve"> </v>
      </c>
      <c r="T214" s="109" t="str">
        <f>IFERROR(VLOOKUP(Open[[#This Row],[SM BE O/B 09.07.22 Rang]],$AJ$16:$AK$111,2,0)*T$5," ")</f>
        <v xml:space="preserve"> </v>
      </c>
      <c r="U214" s="11">
        <v>0</v>
      </c>
      <c r="V214" s="11">
        <v>0</v>
      </c>
      <c r="W214" s="11">
        <v>0</v>
      </c>
      <c r="X214" s="129"/>
      <c r="Y214" s="191"/>
      <c r="Z214" s="191"/>
      <c r="AA214" s="191"/>
      <c r="AB214" s="191"/>
      <c r="AC214" s="191"/>
      <c r="AD214" s="191"/>
      <c r="AE214" s="191"/>
      <c r="AF214" s="191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BB214" s="4"/>
      <c r="BC214" s="4"/>
      <c r="BD214" s="4"/>
      <c r="BE214" s="4"/>
      <c r="BF214" s="4"/>
      <c r="BG214" s="4"/>
      <c r="BH214" s="4"/>
      <c r="BI214" s="4"/>
    </row>
    <row r="215" spans="1:61" x14ac:dyDescent="0.2">
      <c r="A215" s="11">
        <v>173</v>
      </c>
      <c r="B215" s="11">
        <f>IF(Open[[#This Row],[PR Rang beim letzten Turnier]]&gt;Open[[#This Row],[PR Rang]],1,IF(Open[[#This Row],[PR Rang beim letzten Turnier]]=Open[[#This Row],[PR Rang]],0,-1))</f>
        <v>-1</v>
      </c>
      <c r="C215" s="147">
        <f>RANK(Open[[#This Row],[PR Punkte]],Open[PR Punkte],0)</f>
        <v>205</v>
      </c>
      <c r="D215" s="25" t="s">
        <v>323</v>
      </c>
      <c r="E215" s="11" t="s">
        <v>18</v>
      </c>
      <c r="F215" s="109">
        <f>SUM(Open[[#This Row],[PR 1]:[PR 3]])</f>
        <v>0</v>
      </c>
      <c r="G215" s="109">
        <f>LARGE(Open[[#This Row],[TS SH O 22.02.22]:[PR3]],1)</f>
        <v>0</v>
      </c>
      <c r="H215" s="109">
        <f>LARGE(Open[[#This Row],[TS SH O 22.02.22]:[PR3]],2)</f>
        <v>0</v>
      </c>
      <c r="I215" s="109">
        <f>LARGE(Open[[#This Row],[TS SH O 22.02.22]:[PR3]],3)</f>
        <v>0</v>
      </c>
      <c r="J215" s="11">
        <f>RANK(K215,$K$7:$K$295,0)</f>
        <v>205</v>
      </c>
      <c r="K215" s="109">
        <f>SUM(L215:W215)</f>
        <v>0</v>
      </c>
      <c r="L215" s="109" t="str">
        <f>IFERROR(VLOOKUP(Open[[#This Row],[TS SH 22.02.22 Rang]],$AJ$16:$AK$111,2,0)*L$5," ")</f>
        <v xml:space="preserve"> </v>
      </c>
      <c r="M215" s="109" t="str">
        <f>IFERROR(VLOOKUP(Open[[#This Row],[TS SH O 23.04.22 Rang]],$AJ$16:$AK$111,2,0)*M$5," ")</f>
        <v xml:space="preserve"> </v>
      </c>
      <c r="N215" s="109" t="str">
        <f>IFERROR(VLOOKUP(Open[[#This Row],[TS LA O 08.05.22 Rang]],$AJ$16:$AK$111,2,0)*N$5," ")</f>
        <v xml:space="preserve"> </v>
      </c>
      <c r="O215" s="109" t="str">
        <f>IFERROR(VLOOKUP(Open[[#This Row],[TS SG O 25.05.22 Rang]],$AJ$16:$AK$111,2,0)*O$5," ")</f>
        <v xml:space="preserve"> </v>
      </c>
      <c r="P215" s="109" t="str">
        <f>IFERROR(VLOOKUP(Open[[#This Row],[TS SH O 25.06.22 Rang]],$AJ$16:$AK$111,2,0)*P$5," ")</f>
        <v xml:space="preserve"> </v>
      </c>
      <c r="Q215" s="109" t="str">
        <f>IFERROR(VLOOKUP(Open[[#This Row],[TS ZH O/A 25.06.22 Rang]],$AJ$16:$AK$111,2,0)*Q$5," ")</f>
        <v xml:space="preserve"> </v>
      </c>
      <c r="R215" s="109" t="str">
        <f>IFERROR(VLOOKUP(Open[[#This Row],[TS ZH O/B 25.06.22 Rang]],$AJ$16:$AK$111,2,0)*R$5," ")</f>
        <v xml:space="preserve"> </v>
      </c>
      <c r="S215" s="109" t="str">
        <f>IFERROR(VLOOKUP(Open[[#This Row],[SM BE O/A 09.07.22 Rang]],$AJ$16:$AK$111,2,0)*S$5," ")</f>
        <v xml:space="preserve"> </v>
      </c>
      <c r="T215" s="109" t="str">
        <f>IFERROR(VLOOKUP(Open[[#This Row],[SM BE O/B 09.07.22 Rang]],$AJ$16:$AK$111,2,0)*T$5," ")</f>
        <v xml:space="preserve"> </v>
      </c>
      <c r="U215" s="11">
        <v>0</v>
      </c>
      <c r="V215" s="11">
        <v>0</v>
      </c>
      <c r="W215" s="11">
        <v>0</v>
      </c>
      <c r="X215" s="129"/>
      <c r="Y215" s="191"/>
      <c r="Z215" s="191"/>
      <c r="AA215" s="191"/>
      <c r="AB215" s="191"/>
      <c r="AC215" s="191"/>
      <c r="AD215" s="191"/>
      <c r="AE215" s="191"/>
      <c r="AF215" s="191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BB215" s="4"/>
      <c r="BC215" s="4"/>
      <c r="BD215" s="4"/>
      <c r="BE215" s="4"/>
      <c r="BF215" s="4"/>
      <c r="BG215" s="4"/>
      <c r="BH215" s="4"/>
      <c r="BI215" s="4"/>
    </row>
    <row r="216" spans="1:61" x14ac:dyDescent="0.2">
      <c r="A216" s="11">
        <v>173</v>
      </c>
      <c r="B216" s="11">
        <f>IF(Open[[#This Row],[PR Rang beim letzten Turnier]]&gt;Open[[#This Row],[PR Rang]],1,IF(Open[[#This Row],[PR Rang beim letzten Turnier]]=Open[[#This Row],[PR Rang]],0,-1))</f>
        <v>-1</v>
      </c>
      <c r="C216" s="147">
        <f>RANK(Open[[#This Row],[PR Punkte]],Open[PR Punkte],0)</f>
        <v>205</v>
      </c>
      <c r="D216" s="25" t="s">
        <v>324</v>
      </c>
      <c r="E216" s="11" t="s">
        <v>18</v>
      </c>
      <c r="F216" s="109">
        <f>SUM(Open[[#This Row],[PR 1]:[PR 3]])</f>
        <v>0</v>
      </c>
      <c r="G216" s="109">
        <f>LARGE(Open[[#This Row],[TS SH O 22.02.22]:[PR3]],1)</f>
        <v>0</v>
      </c>
      <c r="H216" s="109">
        <f>LARGE(Open[[#This Row],[TS SH O 22.02.22]:[PR3]],2)</f>
        <v>0</v>
      </c>
      <c r="I216" s="109">
        <f>LARGE(Open[[#This Row],[TS SH O 22.02.22]:[PR3]],3)</f>
        <v>0</v>
      </c>
      <c r="J216" s="11">
        <f>RANK(K216,$K$7:$K$295,0)</f>
        <v>205</v>
      </c>
      <c r="K216" s="109">
        <f>SUM(L216:W216)</f>
        <v>0</v>
      </c>
      <c r="L216" s="109" t="str">
        <f>IFERROR(VLOOKUP(Open[[#This Row],[TS SH 22.02.22 Rang]],$AJ$16:$AK$111,2,0)*L$5," ")</f>
        <v xml:space="preserve"> </v>
      </c>
      <c r="M216" s="109" t="str">
        <f>IFERROR(VLOOKUP(Open[[#This Row],[TS SH O 23.04.22 Rang]],$AJ$16:$AK$111,2,0)*M$5," ")</f>
        <v xml:space="preserve"> </v>
      </c>
      <c r="N216" s="109" t="str">
        <f>IFERROR(VLOOKUP(Open[[#This Row],[TS LA O 08.05.22 Rang]],$AJ$16:$AK$111,2,0)*N$5," ")</f>
        <v xml:space="preserve"> </v>
      </c>
      <c r="O216" s="109" t="str">
        <f>IFERROR(VLOOKUP(Open[[#This Row],[TS SG O 25.05.22 Rang]],$AJ$16:$AK$111,2,0)*O$5," ")</f>
        <v xml:space="preserve"> </v>
      </c>
      <c r="P216" s="109" t="str">
        <f>IFERROR(VLOOKUP(Open[[#This Row],[TS SH O 25.06.22 Rang]],$AJ$16:$AK$111,2,0)*P$5," ")</f>
        <v xml:space="preserve"> </v>
      </c>
      <c r="Q216" s="109" t="str">
        <f>IFERROR(VLOOKUP(Open[[#This Row],[TS ZH O/A 25.06.22 Rang]],$AJ$16:$AK$111,2,0)*Q$5," ")</f>
        <v xml:space="preserve"> </v>
      </c>
      <c r="R216" s="109" t="str">
        <f>IFERROR(VLOOKUP(Open[[#This Row],[TS ZH O/B 25.06.22 Rang]],$AJ$16:$AK$111,2,0)*R$5," ")</f>
        <v xml:space="preserve"> </v>
      </c>
      <c r="S216" s="109" t="str">
        <f>IFERROR(VLOOKUP(Open[[#This Row],[SM BE O/A 09.07.22 Rang]],$AJ$16:$AK$111,2,0)*S$5," ")</f>
        <v xml:space="preserve"> </v>
      </c>
      <c r="T216" s="109" t="str">
        <f>IFERROR(VLOOKUP(Open[[#This Row],[SM BE O/B 09.07.22 Rang]],$AJ$16:$AK$111,2,0)*T$5," ")</f>
        <v xml:space="preserve"> </v>
      </c>
      <c r="U216" s="11">
        <v>0</v>
      </c>
      <c r="V216" s="11">
        <v>0</v>
      </c>
      <c r="W216" s="11">
        <v>0</v>
      </c>
      <c r="X216" s="129"/>
      <c r="Y216" s="191"/>
      <c r="Z216" s="191"/>
      <c r="AA216" s="191"/>
      <c r="AB216" s="191"/>
      <c r="AC216" s="191"/>
      <c r="AD216" s="191"/>
      <c r="AE216" s="191"/>
      <c r="AF216" s="191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BB216" s="4"/>
      <c r="BC216" s="4"/>
      <c r="BD216" s="4"/>
      <c r="BE216" s="4"/>
      <c r="BF216" s="4"/>
      <c r="BG216" s="4"/>
      <c r="BH216" s="4"/>
      <c r="BI216" s="4"/>
    </row>
    <row r="217" spans="1:61" x14ac:dyDescent="0.2">
      <c r="A217" s="11">
        <v>173</v>
      </c>
      <c r="B217" s="11">
        <f>IF(Open[[#This Row],[PR Rang beim letzten Turnier]]&gt;Open[[#This Row],[PR Rang]],1,IF(Open[[#This Row],[PR Rang beim letzten Turnier]]=Open[[#This Row],[PR Rang]],0,-1))</f>
        <v>-1</v>
      </c>
      <c r="C217" s="147">
        <f>RANK(Open[[#This Row],[PR Punkte]],Open[PR Punkte],0)</f>
        <v>205</v>
      </c>
      <c r="D217" s="25" t="s">
        <v>325</v>
      </c>
      <c r="E217" s="31" t="s">
        <v>18</v>
      </c>
      <c r="F217" s="109">
        <f>SUM(Open[[#This Row],[PR 1]:[PR 3]])</f>
        <v>0</v>
      </c>
      <c r="G217" s="109">
        <f>LARGE(Open[[#This Row],[TS SH O 22.02.22]:[PR3]],1)</f>
        <v>0</v>
      </c>
      <c r="H217" s="109">
        <f>LARGE(Open[[#This Row],[TS SH O 22.02.22]:[PR3]],2)</f>
        <v>0</v>
      </c>
      <c r="I217" s="109">
        <f>LARGE(Open[[#This Row],[TS SH O 22.02.22]:[PR3]],3)</f>
        <v>0</v>
      </c>
      <c r="J217" s="31">
        <f>RANK(K217,$K$7:$K$295,0)</f>
        <v>205</v>
      </c>
      <c r="K217" s="109">
        <f>SUM(L217:W217)</f>
        <v>0</v>
      </c>
      <c r="L217" s="109" t="str">
        <f>IFERROR(VLOOKUP(Open[[#This Row],[TS SH 22.02.22 Rang]],$AJ$16:$AK$111,2,0)*L$5," ")</f>
        <v xml:space="preserve"> </v>
      </c>
      <c r="M217" s="109" t="str">
        <f>IFERROR(VLOOKUP(Open[[#This Row],[TS SH O 23.04.22 Rang]],$AJ$16:$AK$111,2,0)*M$5," ")</f>
        <v xml:space="preserve"> </v>
      </c>
      <c r="N217" s="109" t="str">
        <f>IFERROR(VLOOKUP(Open[[#This Row],[TS LA O 08.05.22 Rang]],$AJ$16:$AK$111,2,0)*N$5," ")</f>
        <v xml:space="preserve"> </v>
      </c>
      <c r="O217" s="109" t="str">
        <f>IFERROR(VLOOKUP(Open[[#This Row],[TS SG O 25.05.22 Rang]],$AJ$16:$AK$111,2,0)*O$5," ")</f>
        <v xml:space="preserve"> </v>
      </c>
      <c r="P217" s="109" t="str">
        <f>IFERROR(VLOOKUP(Open[[#This Row],[TS SH O 25.06.22 Rang]],$AJ$16:$AK$111,2,0)*P$5," ")</f>
        <v xml:space="preserve"> </v>
      </c>
      <c r="Q217" s="109" t="str">
        <f>IFERROR(VLOOKUP(Open[[#This Row],[TS ZH O/A 25.06.22 Rang]],$AJ$16:$AK$111,2,0)*Q$5," ")</f>
        <v xml:space="preserve"> </v>
      </c>
      <c r="R217" s="109" t="str">
        <f>IFERROR(VLOOKUP(Open[[#This Row],[TS ZH O/B 25.06.22 Rang]],$AJ$16:$AK$111,2,0)*R$5," ")</f>
        <v xml:space="preserve"> </v>
      </c>
      <c r="S217" s="109" t="str">
        <f>IFERROR(VLOOKUP(Open[[#This Row],[SM BE O/A 09.07.22 Rang]],$AJ$16:$AK$111,2,0)*S$5," ")</f>
        <v xml:space="preserve"> </v>
      </c>
      <c r="T217" s="109" t="str">
        <f>IFERROR(VLOOKUP(Open[[#This Row],[SM BE O/B 09.07.22 Rang]],$AJ$16:$AK$111,2,0)*T$5," ")</f>
        <v xml:space="preserve"> </v>
      </c>
      <c r="U217" s="11">
        <v>0</v>
      </c>
      <c r="V217" s="11">
        <v>0</v>
      </c>
      <c r="W217" s="11">
        <v>0</v>
      </c>
      <c r="X217" s="129"/>
      <c r="Y217" s="191"/>
      <c r="Z217" s="191"/>
      <c r="AA217" s="191"/>
      <c r="AB217" s="191"/>
      <c r="AC217" s="191"/>
      <c r="AD217" s="191"/>
      <c r="AE217" s="191"/>
      <c r="AF217" s="191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BB217" s="4"/>
      <c r="BC217" s="4"/>
      <c r="BD217" s="4"/>
      <c r="BE217" s="4"/>
      <c r="BF217" s="4"/>
      <c r="BG217" s="4"/>
      <c r="BH217" s="4"/>
      <c r="BI217" s="4"/>
    </row>
    <row r="218" spans="1:61" x14ac:dyDescent="0.2">
      <c r="A218" s="11">
        <v>173</v>
      </c>
      <c r="B218" s="11">
        <f>IF(Open[[#This Row],[PR Rang beim letzten Turnier]]&gt;Open[[#This Row],[PR Rang]],1,IF(Open[[#This Row],[PR Rang beim letzten Turnier]]=Open[[#This Row],[PR Rang]],0,-1))</f>
        <v>-1</v>
      </c>
      <c r="C218" s="147">
        <f>RANK(Open[[#This Row],[PR Punkte]],Open[PR Punkte],0)</f>
        <v>205</v>
      </c>
      <c r="D218" s="25" t="s">
        <v>326</v>
      </c>
      <c r="E218" s="31" t="s">
        <v>18</v>
      </c>
      <c r="F218" s="109">
        <f>SUM(Open[[#This Row],[PR 1]:[PR 3]])</f>
        <v>0</v>
      </c>
      <c r="G218" s="109">
        <f>LARGE(Open[[#This Row],[TS SH O 22.02.22]:[PR3]],1)</f>
        <v>0</v>
      </c>
      <c r="H218" s="109">
        <f>LARGE(Open[[#This Row],[TS SH O 22.02.22]:[PR3]],2)</f>
        <v>0</v>
      </c>
      <c r="I218" s="109">
        <f>LARGE(Open[[#This Row],[TS SH O 22.02.22]:[PR3]],3)</f>
        <v>0</v>
      </c>
      <c r="J218" s="31">
        <f>RANK(K218,$K$7:$K$295,0)</f>
        <v>205</v>
      </c>
      <c r="K218" s="109">
        <f>SUM(L218:W218)</f>
        <v>0</v>
      </c>
      <c r="L218" s="109" t="str">
        <f>IFERROR(VLOOKUP(Open[[#This Row],[TS SH 22.02.22 Rang]],$AJ$16:$AK$111,2,0)*L$5," ")</f>
        <v xml:space="preserve"> </v>
      </c>
      <c r="M218" s="109" t="str">
        <f>IFERROR(VLOOKUP(Open[[#This Row],[TS SH O 23.04.22 Rang]],$AJ$16:$AK$111,2,0)*M$5," ")</f>
        <v xml:space="preserve"> </v>
      </c>
      <c r="N218" s="109" t="str">
        <f>IFERROR(VLOOKUP(Open[[#This Row],[TS LA O 08.05.22 Rang]],$AJ$16:$AK$111,2,0)*N$5," ")</f>
        <v xml:space="preserve"> </v>
      </c>
      <c r="O218" s="109" t="str">
        <f>IFERROR(VLOOKUP(Open[[#This Row],[TS SG O 25.05.22 Rang]],$AJ$16:$AK$111,2,0)*O$5," ")</f>
        <v xml:space="preserve"> </v>
      </c>
      <c r="P218" s="109" t="str">
        <f>IFERROR(VLOOKUP(Open[[#This Row],[TS SH O 25.06.22 Rang]],$AJ$16:$AK$111,2,0)*P$5," ")</f>
        <v xml:space="preserve"> </v>
      </c>
      <c r="Q218" s="109" t="str">
        <f>IFERROR(VLOOKUP(Open[[#This Row],[TS ZH O/A 25.06.22 Rang]],$AJ$16:$AK$111,2,0)*Q$5," ")</f>
        <v xml:space="preserve"> </v>
      </c>
      <c r="R218" s="109" t="str">
        <f>IFERROR(VLOOKUP(Open[[#This Row],[TS ZH O/B 25.06.22 Rang]],$AJ$16:$AK$111,2,0)*R$5," ")</f>
        <v xml:space="preserve"> </v>
      </c>
      <c r="S218" s="109" t="str">
        <f>IFERROR(VLOOKUP(Open[[#This Row],[SM BE O/A 09.07.22 Rang]],$AJ$16:$AK$111,2,0)*S$5," ")</f>
        <v xml:space="preserve"> </v>
      </c>
      <c r="T218" s="109" t="str">
        <f>IFERROR(VLOOKUP(Open[[#This Row],[SM BE O/B 09.07.22 Rang]],$AJ$16:$AK$111,2,0)*T$5," ")</f>
        <v xml:space="preserve"> </v>
      </c>
      <c r="U218" s="11">
        <v>0</v>
      </c>
      <c r="V218" s="11">
        <v>0</v>
      </c>
      <c r="W218" s="11">
        <v>0</v>
      </c>
      <c r="X218" s="129"/>
      <c r="Y218" s="191"/>
      <c r="Z218" s="191"/>
      <c r="AA218" s="191"/>
      <c r="AB218" s="191"/>
      <c r="AC218" s="191"/>
      <c r="AD218" s="191"/>
      <c r="AE218" s="191"/>
      <c r="AF218" s="191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BB218" s="4"/>
      <c r="BC218" s="4"/>
      <c r="BD218" s="4"/>
      <c r="BE218" s="4"/>
      <c r="BF218" s="4"/>
      <c r="BG218" s="4"/>
      <c r="BH218" s="4"/>
      <c r="BI218" s="4"/>
    </row>
    <row r="219" spans="1:61" x14ac:dyDescent="0.2">
      <c r="A219" s="11">
        <v>173</v>
      </c>
      <c r="B219" s="11">
        <f>IF(Open[[#This Row],[PR Rang beim letzten Turnier]]&gt;Open[[#This Row],[PR Rang]],1,IF(Open[[#This Row],[PR Rang beim letzten Turnier]]=Open[[#This Row],[PR Rang]],0,-1))</f>
        <v>-1</v>
      </c>
      <c r="C219" s="147">
        <f>RANK(Open[[#This Row],[PR Punkte]],Open[PR Punkte],0)</f>
        <v>205</v>
      </c>
      <c r="D219" s="25" t="s">
        <v>327</v>
      </c>
      <c r="E219" s="31" t="s">
        <v>18</v>
      </c>
      <c r="F219" s="109">
        <f>SUM(Open[[#This Row],[PR 1]:[PR 3]])</f>
        <v>0</v>
      </c>
      <c r="G219" s="109">
        <f>LARGE(Open[[#This Row],[TS SH O 22.02.22]:[PR3]],1)</f>
        <v>0</v>
      </c>
      <c r="H219" s="109">
        <f>LARGE(Open[[#This Row],[TS SH O 22.02.22]:[PR3]],2)</f>
        <v>0</v>
      </c>
      <c r="I219" s="109">
        <f>LARGE(Open[[#This Row],[TS SH O 22.02.22]:[PR3]],3)</f>
        <v>0</v>
      </c>
      <c r="J219" s="31">
        <f>RANK(K219,$K$7:$K$295,0)</f>
        <v>205</v>
      </c>
      <c r="K219" s="109">
        <f>SUM(L219:W219)</f>
        <v>0</v>
      </c>
      <c r="L219" s="109" t="str">
        <f>IFERROR(VLOOKUP(Open[[#This Row],[TS SH 22.02.22 Rang]],$AJ$16:$AK$111,2,0)*L$5," ")</f>
        <v xml:space="preserve"> </v>
      </c>
      <c r="M219" s="109" t="str">
        <f>IFERROR(VLOOKUP(Open[[#This Row],[TS SH O 23.04.22 Rang]],$AJ$16:$AK$111,2,0)*M$5," ")</f>
        <v xml:space="preserve"> </v>
      </c>
      <c r="N219" s="109" t="str">
        <f>IFERROR(VLOOKUP(Open[[#This Row],[TS LA O 08.05.22 Rang]],$AJ$16:$AK$111,2,0)*N$5," ")</f>
        <v xml:space="preserve"> </v>
      </c>
      <c r="O219" s="109" t="str">
        <f>IFERROR(VLOOKUP(Open[[#This Row],[TS SG O 25.05.22 Rang]],$AJ$16:$AK$111,2,0)*O$5," ")</f>
        <v xml:space="preserve"> </v>
      </c>
      <c r="P219" s="109" t="str">
        <f>IFERROR(VLOOKUP(Open[[#This Row],[TS SH O 25.06.22 Rang]],$AJ$16:$AK$111,2,0)*P$5," ")</f>
        <v xml:space="preserve"> </v>
      </c>
      <c r="Q219" s="109" t="str">
        <f>IFERROR(VLOOKUP(Open[[#This Row],[TS ZH O/A 25.06.22 Rang]],$AJ$16:$AK$111,2,0)*Q$5," ")</f>
        <v xml:space="preserve"> </v>
      </c>
      <c r="R219" s="109" t="str">
        <f>IFERROR(VLOOKUP(Open[[#This Row],[TS ZH O/B 25.06.22 Rang]],$AJ$16:$AK$111,2,0)*R$5," ")</f>
        <v xml:space="preserve"> </v>
      </c>
      <c r="S219" s="109" t="str">
        <f>IFERROR(VLOOKUP(Open[[#This Row],[SM BE O/A 09.07.22 Rang]],$AJ$16:$AK$111,2,0)*S$5," ")</f>
        <v xml:space="preserve"> </v>
      </c>
      <c r="T219" s="109" t="str">
        <f>IFERROR(VLOOKUP(Open[[#This Row],[SM BE O/B 09.07.22 Rang]],$AJ$16:$AK$111,2,0)*T$5," ")</f>
        <v xml:space="preserve"> </v>
      </c>
      <c r="U219" s="11">
        <v>0</v>
      </c>
      <c r="V219" s="11">
        <v>0</v>
      </c>
      <c r="W219" s="11">
        <v>0</v>
      </c>
      <c r="X219" s="129"/>
      <c r="Y219" s="191"/>
      <c r="Z219" s="191"/>
      <c r="AA219" s="191"/>
      <c r="AB219" s="191"/>
      <c r="AC219" s="191"/>
      <c r="AD219" s="191"/>
      <c r="AE219" s="191"/>
      <c r="AF219" s="191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BB219" s="4"/>
      <c r="BC219" s="4"/>
      <c r="BD219" s="4"/>
      <c r="BE219" s="4"/>
      <c r="BF219" s="4"/>
      <c r="BG219" s="4"/>
      <c r="BH219" s="4"/>
      <c r="BI219" s="4"/>
    </row>
    <row r="220" spans="1:61" x14ac:dyDescent="0.2">
      <c r="A220" s="11">
        <v>173</v>
      </c>
      <c r="B220" s="11">
        <f>IF(Open[[#This Row],[PR Rang beim letzten Turnier]]&gt;Open[[#This Row],[PR Rang]],1,IF(Open[[#This Row],[PR Rang beim letzten Turnier]]=Open[[#This Row],[PR Rang]],0,-1))</f>
        <v>-1</v>
      </c>
      <c r="C220" s="147">
        <f>RANK(Open[[#This Row],[PR Punkte]],Open[PR Punkte],0)</f>
        <v>205</v>
      </c>
      <c r="D220" s="25" t="s">
        <v>328</v>
      </c>
      <c r="E220" s="31" t="s">
        <v>18</v>
      </c>
      <c r="F220" s="109">
        <f>SUM(Open[[#This Row],[PR 1]:[PR 3]])</f>
        <v>0</v>
      </c>
      <c r="G220" s="109">
        <f>LARGE(Open[[#This Row],[TS SH O 22.02.22]:[PR3]],1)</f>
        <v>0</v>
      </c>
      <c r="H220" s="109">
        <f>LARGE(Open[[#This Row],[TS SH O 22.02.22]:[PR3]],2)</f>
        <v>0</v>
      </c>
      <c r="I220" s="109">
        <f>LARGE(Open[[#This Row],[TS SH O 22.02.22]:[PR3]],3)</f>
        <v>0</v>
      </c>
      <c r="J220" s="31">
        <f>RANK(K220,$K$7:$K$295,0)</f>
        <v>205</v>
      </c>
      <c r="K220" s="109">
        <f>SUM(L220:W220)</f>
        <v>0</v>
      </c>
      <c r="L220" s="109" t="str">
        <f>IFERROR(VLOOKUP(Open[[#This Row],[TS SH 22.02.22 Rang]],$AJ$16:$AK$111,2,0)*L$5," ")</f>
        <v xml:space="preserve"> </v>
      </c>
      <c r="M220" s="109" t="str">
        <f>IFERROR(VLOOKUP(Open[[#This Row],[TS SH O 23.04.22 Rang]],$AJ$16:$AK$111,2,0)*M$5," ")</f>
        <v xml:space="preserve"> </v>
      </c>
      <c r="N220" s="109" t="str">
        <f>IFERROR(VLOOKUP(Open[[#This Row],[TS LA O 08.05.22 Rang]],$AJ$16:$AK$111,2,0)*N$5," ")</f>
        <v xml:space="preserve"> </v>
      </c>
      <c r="O220" s="109" t="str">
        <f>IFERROR(VLOOKUP(Open[[#This Row],[TS SG O 25.05.22 Rang]],$AJ$16:$AK$111,2,0)*O$5," ")</f>
        <v xml:space="preserve"> </v>
      </c>
      <c r="P220" s="109" t="str">
        <f>IFERROR(VLOOKUP(Open[[#This Row],[TS SH O 25.06.22 Rang]],$AJ$16:$AK$111,2,0)*P$5," ")</f>
        <v xml:space="preserve"> </v>
      </c>
      <c r="Q220" s="109" t="str">
        <f>IFERROR(VLOOKUP(Open[[#This Row],[TS ZH O/A 25.06.22 Rang]],$AJ$16:$AK$111,2,0)*Q$5," ")</f>
        <v xml:space="preserve"> </v>
      </c>
      <c r="R220" s="109" t="str">
        <f>IFERROR(VLOOKUP(Open[[#This Row],[TS ZH O/B 25.06.22 Rang]],$AJ$16:$AK$111,2,0)*R$5," ")</f>
        <v xml:space="preserve"> </v>
      </c>
      <c r="S220" s="109" t="str">
        <f>IFERROR(VLOOKUP(Open[[#This Row],[SM BE O/A 09.07.22 Rang]],$AJ$16:$AK$111,2,0)*S$5," ")</f>
        <v xml:space="preserve"> </v>
      </c>
      <c r="T220" s="109" t="str">
        <f>IFERROR(VLOOKUP(Open[[#This Row],[SM BE O/B 09.07.22 Rang]],$AJ$16:$AK$111,2,0)*T$5," ")</f>
        <v xml:space="preserve"> </v>
      </c>
      <c r="U220" s="11">
        <v>0</v>
      </c>
      <c r="V220" s="11">
        <v>0</v>
      </c>
      <c r="W220" s="11">
        <v>0</v>
      </c>
      <c r="X220" s="129"/>
      <c r="Y220" s="191"/>
      <c r="Z220" s="191"/>
      <c r="AA220" s="191"/>
      <c r="AB220" s="191"/>
      <c r="AC220" s="191"/>
      <c r="AD220" s="191"/>
      <c r="AE220" s="191"/>
      <c r="AF220" s="191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BB220" s="4"/>
      <c r="BC220" s="4"/>
      <c r="BD220" s="4"/>
      <c r="BE220" s="4"/>
      <c r="BF220" s="4"/>
      <c r="BG220" s="4"/>
      <c r="BH220" s="4"/>
      <c r="BI220" s="4"/>
    </row>
    <row r="221" spans="1:61" x14ac:dyDescent="0.2">
      <c r="A221" s="11">
        <v>173</v>
      </c>
      <c r="B221" s="11">
        <f>IF(Open[[#This Row],[PR Rang beim letzten Turnier]]&gt;Open[[#This Row],[PR Rang]],1,IF(Open[[#This Row],[PR Rang beim letzten Turnier]]=Open[[#This Row],[PR Rang]],0,-1))</f>
        <v>-1</v>
      </c>
      <c r="C221" s="147">
        <f>RANK(Open[[#This Row],[PR Punkte]],Open[PR Punkte],0)</f>
        <v>205</v>
      </c>
      <c r="D221" s="9" t="s">
        <v>26</v>
      </c>
      <c r="E221" s="9" t="s">
        <v>0</v>
      </c>
      <c r="F221" s="109">
        <f>SUM(Open[[#This Row],[PR 1]:[PR 3]])</f>
        <v>0</v>
      </c>
      <c r="G221" s="109">
        <f>LARGE(Open[[#This Row],[TS SH O 22.02.22]:[PR3]],1)</f>
        <v>0</v>
      </c>
      <c r="H221" s="109">
        <f>LARGE(Open[[#This Row],[TS SH O 22.02.22]:[PR3]],2)</f>
        <v>0</v>
      </c>
      <c r="I221" s="109">
        <f>LARGE(Open[[#This Row],[TS SH O 22.02.22]:[PR3]],3)</f>
        <v>0</v>
      </c>
      <c r="J221" s="9">
        <f>RANK(K221,$K$7:$K$295,0)</f>
        <v>205</v>
      </c>
      <c r="K221" s="109">
        <f>SUM(L221:W221)</f>
        <v>0</v>
      </c>
      <c r="L221" s="109" t="str">
        <f>IFERROR(VLOOKUP(Open[[#This Row],[TS SH 22.02.22 Rang]],$AJ$16:$AK$111,2,0)*L$5," ")</f>
        <v xml:space="preserve"> </v>
      </c>
      <c r="M221" s="109" t="str">
        <f>IFERROR(VLOOKUP(Open[[#This Row],[TS SH O 23.04.22 Rang]],$AJ$16:$AK$111,2,0)*M$5," ")</f>
        <v xml:space="preserve"> </v>
      </c>
      <c r="N221" s="109" t="str">
        <f>IFERROR(VLOOKUP(Open[[#This Row],[TS LA O 08.05.22 Rang]],$AJ$16:$AK$111,2,0)*N$5," ")</f>
        <v xml:space="preserve"> </v>
      </c>
      <c r="O221" s="109" t="str">
        <f>IFERROR(VLOOKUP(Open[[#This Row],[TS SG O 25.05.22 Rang]],$AJ$16:$AK$111,2,0)*O$5," ")</f>
        <v xml:space="preserve"> </v>
      </c>
      <c r="P221" s="109" t="str">
        <f>IFERROR(VLOOKUP(Open[[#This Row],[TS SH O 25.06.22 Rang]],$AJ$16:$AK$111,2,0)*P$5," ")</f>
        <v xml:space="preserve"> </v>
      </c>
      <c r="Q221" s="109" t="str">
        <f>IFERROR(VLOOKUP(Open[[#This Row],[TS ZH O/A 25.06.22 Rang]],$AJ$16:$AK$111,2,0)*Q$5," ")</f>
        <v xml:space="preserve"> </v>
      </c>
      <c r="R221" s="109" t="str">
        <f>IFERROR(VLOOKUP(Open[[#This Row],[TS ZH O/B 25.06.22 Rang]],$AJ$16:$AK$111,2,0)*R$5," ")</f>
        <v xml:space="preserve"> </v>
      </c>
      <c r="S221" s="109" t="str">
        <f>IFERROR(VLOOKUP(Open[[#This Row],[SM BE O/A 09.07.22 Rang]],$AJ$16:$AK$111,2,0)*S$5," ")</f>
        <v xml:space="preserve"> </v>
      </c>
      <c r="T221" s="109" t="str">
        <f>IFERROR(VLOOKUP(Open[[#This Row],[SM BE O/B 09.07.22 Rang]],$AJ$16:$AK$111,2,0)*T$5," ")</f>
        <v xml:space="preserve"> </v>
      </c>
      <c r="U221" s="11">
        <v>0</v>
      </c>
      <c r="V221" s="11">
        <v>0</v>
      </c>
      <c r="W221" s="11">
        <v>0</v>
      </c>
      <c r="X221" s="129"/>
      <c r="Y221" s="191"/>
      <c r="Z221" s="191"/>
      <c r="AA221" s="191"/>
      <c r="AB221" s="191"/>
      <c r="AC221" s="191"/>
      <c r="AD221" s="191"/>
      <c r="AE221" s="191"/>
      <c r="AF221" s="191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BB221" s="4"/>
      <c r="BC221" s="4"/>
      <c r="BD221" s="4"/>
      <c r="BE221" s="4"/>
      <c r="BF221" s="4"/>
      <c r="BG221" s="4"/>
      <c r="BH221" s="4"/>
      <c r="BI221" s="4"/>
    </row>
    <row r="222" spans="1:61" x14ac:dyDescent="0.2">
      <c r="A222" s="11">
        <v>173</v>
      </c>
      <c r="B222" s="11">
        <f>IF(Open[[#This Row],[PR Rang beim letzten Turnier]]&gt;Open[[#This Row],[PR Rang]],1,IF(Open[[#This Row],[PR Rang beim letzten Turnier]]=Open[[#This Row],[PR Rang]],0,-1))</f>
        <v>-1</v>
      </c>
      <c r="C222" s="147">
        <f>RANK(Open[[#This Row],[PR Punkte]],Open[PR Punkte],0)</f>
        <v>205</v>
      </c>
      <c r="D222" s="25" t="s">
        <v>208</v>
      </c>
      <c r="E222" s="31" t="s">
        <v>16</v>
      </c>
      <c r="F222" s="109">
        <f>SUM(Open[[#This Row],[PR 1]:[PR 3]])</f>
        <v>0</v>
      </c>
      <c r="G222" s="109">
        <f>LARGE(Open[[#This Row],[TS SH O 22.02.22]:[PR3]],1)</f>
        <v>0</v>
      </c>
      <c r="H222" s="109">
        <f>LARGE(Open[[#This Row],[TS SH O 22.02.22]:[PR3]],2)</f>
        <v>0</v>
      </c>
      <c r="I222" s="109">
        <f>LARGE(Open[[#This Row],[TS SH O 22.02.22]:[PR3]],3)</f>
        <v>0</v>
      </c>
      <c r="J222" s="31">
        <f>RANK(K222,$K$7:$K$295,0)</f>
        <v>205</v>
      </c>
      <c r="K222" s="109">
        <f>SUM(L222:W222)</f>
        <v>0</v>
      </c>
      <c r="L222" s="109" t="str">
        <f>IFERROR(VLOOKUP(Open[[#This Row],[TS SH 22.02.22 Rang]],$AJ$16:$AK$111,2,0)*L$5," ")</f>
        <v xml:space="preserve"> </v>
      </c>
      <c r="M222" s="109" t="str">
        <f>IFERROR(VLOOKUP(Open[[#This Row],[TS SH O 23.04.22 Rang]],$AJ$16:$AK$111,2,0)*M$5," ")</f>
        <v xml:space="preserve"> </v>
      </c>
      <c r="N222" s="109" t="str">
        <f>IFERROR(VLOOKUP(Open[[#This Row],[TS LA O 08.05.22 Rang]],$AJ$16:$AK$111,2,0)*N$5," ")</f>
        <v xml:space="preserve"> </v>
      </c>
      <c r="O222" s="109" t="str">
        <f>IFERROR(VLOOKUP(Open[[#This Row],[TS SG O 25.05.22 Rang]],$AJ$16:$AK$111,2,0)*O$5," ")</f>
        <v xml:space="preserve"> </v>
      </c>
      <c r="P222" s="109" t="str">
        <f>IFERROR(VLOOKUP(Open[[#This Row],[TS SH O 25.06.22 Rang]],$AJ$16:$AK$111,2,0)*P$5," ")</f>
        <v xml:space="preserve"> </v>
      </c>
      <c r="Q222" s="109" t="str">
        <f>IFERROR(VLOOKUP(Open[[#This Row],[TS ZH O/A 25.06.22 Rang]],$AJ$16:$AK$111,2,0)*Q$5," ")</f>
        <v xml:space="preserve"> </v>
      </c>
      <c r="R222" s="109" t="str">
        <f>IFERROR(VLOOKUP(Open[[#This Row],[TS ZH O/B 25.06.22 Rang]],$AJ$16:$AK$111,2,0)*R$5," ")</f>
        <v xml:space="preserve"> </v>
      </c>
      <c r="S222" s="109" t="str">
        <f>IFERROR(VLOOKUP(Open[[#This Row],[SM BE O/A 09.07.22 Rang]],$AJ$16:$AK$111,2,0)*S$5," ")</f>
        <v xml:space="preserve"> </v>
      </c>
      <c r="T222" s="109" t="str">
        <f>IFERROR(VLOOKUP(Open[[#This Row],[SM BE O/B 09.07.22 Rang]],$AJ$16:$AK$111,2,0)*T$5," ")</f>
        <v xml:space="preserve"> </v>
      </c>
      <c r="U222" s="11">
        <v>0</v>
      </c>
      <c r="V222" s="11">
        <v>0</v>
      </c>
      <c r="W222" s="11">
        <v>0</v>
      </c>
      <c r="X222" s="129"/>
      <c r="Y222" s="191"/>
      <c r="Z222" s="191"/>
      <c r="AA222" s="191"/>
      <c r="AB222" s="191"/>
      <c r="AC222" s="191"/>
      <c r="AD222" s="191"/>
      <c r="AE222" s="191"/>
      <c r="AF222" s="191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BB222" s="4"/>
      <c r="BC222" s="4"/>
      <c r="BD222" s="4"/>
      <c r="BE222" s="4"/>
      <c r="BF222" s="4"/>
      <c r="BG222" s="4"/>
      <c r="BH222" s="4"/>
      <c r="BI222" s="4"/>
    </row>
    <row r="223" spans="1:61" x14ac:dyDescent="0.2">
      <c r="A223" s="11">
        <v>173</v>
      </c>
      <c r="B223" s="11">
        <f>IF(Open[[#This Row],[PR Rang beim letzten Turnier]]&gt;Open[[#This Row],[PR Rang]],1,IF(Open[[#This Row],[PR Rang beim letzten Turnier]]=Open[[#This Row],[PR Rang]],0,-1))</f>
        <v>-1</v>
      </c>
      <c r="C223" s="147">
        <f>RANK(Open[[#This Row],[PR Punkte]],Open[PR Punkte],0)</f>
        <v>205</v>
      </c>
      <c r="D223" s="25" t="s">
        <v>297</v>
      </c>
      <c r="E223" s="11" t="s">
        <v>18</v>
      </c>
      <c r="F223" s="109">
        <f>SUM(Open[[#This Row],[PR 1]:[PR 3]])</f>
        <v>0</v>
      </c>
      <c r="G223" s="109">
        <f>LARGE(Open[[#This Row],[TS SH O 22.02.22]:[PR3]],1)</f>
        <v>0</v>
      </c>
      <c r="H223" s="109">
        <f>LARGE(Open[[#This Row],[TS SH O 22.02.22]:[PR3]],2)</f>
        <v>0</v>
      </c>
      <c r="I223" s="109">
        <f>LARGE(Open[[#This Row],[TS SH O 22.02.22]:[PR3]],3)</f>
        <v>0</v>
      </c>
      <c r="J223" s="11">
        <f>RANK(K223,$K$7:$K$295,0)</f>
        <v>205</v>
      </c>
      <c r="K223" s="109">
        <f>SUM(L223:W223)</f>
        <v>0</v>
      </c>
      <c r="L223" s="109" t="str">
        <f>IFERROR(VLOOKUP(Open[[#This Row],[TS SH 22.02.22 Rang]],$AJ$16:$AK$111,2,0)*L$5," ")</f>
        <v xml:space="preserve"> </v>
      </c>
      <c r="M223" s="109" t="str">
        <f>IFERROR(VLOOKUP(Open[[#This Row],[TS SH O 23.04.22 Rang]],$AJ$16:$AK$111,2,0)*M$5," ")</f>
        <v xml:space="preserve"> </v>
      </c>
      <c r="N223" s="109" t="str">
        <f>IFERROR(VLOOKUP(Open[[#This Row],[TS LA O 08.05.22 Rang]],$AJ$16:$AK$111,2,0)*N$5," ")</f>
        <v xml:space="preserve"> </v>
      </c>
      <c r="O223" s="109" t="str">
        <f>IFERROR(VLOOKUP(Open[[#This Row],[TS SG O 25.05.22 Rang]],$AJ$16:$AK$111,2,0)*O$5," ")</f>
        <v xml:space="preserve"> </v>
      </c>
      <c r="P223" s="109" t="str">
        <f>IFERROR(VLOOKUP(Open[[#This Row],[TS SH O 25.06.22 Rang]],$AJ$16:$AK$111,2,0)*P$5," ")</f>
        <v xml:space="preserve"> </v>
      </c>
      <c r="Q223" s="109" t="str">
        <f>IFERROR(VLOOKUP(Open[[#This Row],[TS ZH O/A 25.06.22 Rang]],$AJ$16:$AK$111,2,0)*Q$5," ")</f>
        <v xml:space="preserve"> </v>
      </c>
      <c r="R223" s="109" t="str">
        <f>IFERROR(VLOOKUP(Open[[#This Row],[TS ZH O/B 25.06.22 Rang]],$AJ$16:$AK$111,2,0)*R$5," ")</f>
        <v xml:space="preserve"> </v>
      </c>
      <c r="S223" s="109" t="str">
        <f>IFERROR(VLOOKUP(Open[[#This Row],[SM BE O/A 09.07.22 Rang]],$AJ$16:$AK$111,2,0)*S$5," ")</f>
        <v xml:space="preserve"> </v>
      </c>
      <c r="T223" s="109" t="str">
        <f>IFERROR(VLOOKUP(Open[[#This Row],[SM BE O/B 09.07.22 Rang]],$AJ$16:$AK$111,2,0)*T$5," ")</f>
        <v xml:space="preserve"> </v>
      </c>
      <c r="U223" s="11">
        <v>0</v>
      </c>
      <c r="V223" s="11">
        <v>0</v>
      </c>
      <c r="W223" s="11">
        <v>0</v>
      </c>
      <c r="X223" s="129"/>
      <c r="Y223" s="191"/>
      <c r="Z223" s="191"/>
      <c r="AA223" s="191"/>
      <c r="AB223" s="191"/>
      <c r="AC223" s="191"/>
      <c r="AD223" s="191"/>
      <c r="AE223" s="191"/>
      <c r="AF223" s="191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BB223" s="4"/>
      <c r="BC223" s="4"/>
      <c r="BD223" s="4"/>
      <c r="BE223" s="4"/>
      <c r="BF223" s="4"/>
      <c r="BG223" s="4"/>
      <c r="BH223" s="4"/>
      <c r="BI223" s="4"/>
    </row>
    <row r="224" spans="1:61" x14ac:dyDescent="0.2">
      <c r="A224" s="11">
        <v>173</v>
      </c>
      <c r="B224" s="11">
        <f>IF(Open[[#This Row],[PR Rang beim letzten Turnier]]&gt;Open[[#This Row],[PR Rang]],1,IF(Open[[#This Row],[PR Rang beim letzten Turnier]]=Open[[#This Row],[PR Rang]],0,-1))</f>
        <v>-1</v>
      </c>
      <c r="C224" s="147">
        <f>RANK(Open[[#This Row],[PR Punkte]],Open[PR Punkte],0)</f>
        <v>205</v>
      </c>
      <c r="D224" s="9" t="s">
        <v>169</v>
      </c>
      <c r="E224" s="9" t="s">
        <v>13</v>
      </c>
      <c r="F224" s="109">
        <f>SUM(Open[[#This Row],[PR 1]:[PR 3]])</f>
        <v>0</v>
      </c>
      <c r="G224" s="109">
        <f>LARGE(Open[[#This Row],[TS SH O 22.02.22]:[PR3]],1)</f>
        <v>0</v>
      </c>
      <c r="H224" s="109">
        <f>LARGE(Open[[#This Row],[TS SH O 22.02.22]:[PR3]],2)</f>
        <v>0</v>
      </c>
      <c r="I224" s="109">
        <f>LARGE(Open[[#This Row],[TS SH O 22.02.22]:[PR3]],3)</f>
        <v>0</v>
      </c>
      <c r="J224" s="9">
        <f>RANK(K224,$K$7:$K$295,0)</f>
        <v>205</v>
      </c>
      <c r="K224" s="109">
        <f>SUM(L224:W224)</f>
        <v>0</v>
      </c>
      <c r="L224" s="109" t="str">
        <f>IFERROR(VLOOKUP(Open[[#This Row],[TS SH 22.02.22 Rang]],$AJ$16:$AK$111,2,0)*L$5," ")</f>
        <v xml:space="preserve"> </v>
      </c>
      <c r="M224" s="109" t="str">
        <f>IFERROR(VLOOKUP(Open[[#This Row],[TS SH O 23.04.22 Rang]],$AJ$16:$AK$111,2,0)*M$5," ")</f>
        <v xml:space="preserve"> </v>
      </c>
      <c r="N224" s="109" t="str">
        <f>IFERROR(VLOOKUP(Open[[#This Row],[TS LA O 08.05.22 Rang]],$AJ$16:$AK$111,2,0)*N$5," ")</f>
        <v xml:space="preserve"> </v>
      </c>
      <c r="O224" s="109" t="str">
        <f>IFERROR(VLOOKUP(Open[[#This Row],[TS SG O 25.05.22 Rang]],$AJ$16:$AK$111,2,0)*O$5," ")</f>
        <v xml:space="preserve"> </v>
      </c>
      <c r="P224" s="109" t="str">
        <f>IFERROR(VLOOKUP(Open[[#This Row],[TS SH O 25.06.22 Rang]],$AJ$16:$AK$111,2,0)*P$5," ")</f>
        <v xml:space="preserve"> </v>
      </c>
      <c r="Q224" s="109" t="str">
        <f>IFERROR(VLOOKUP(Open[[#This Row],[TS ZH O/A 25.06.22 Rang]],$AJ$16:$AK$111,2,0)*Q$5," ")</f>
        <v xml:space="preserve"> </v>
      </c>
      <c r="R224" s="109" t="str">
        <f>IFERROR(VLOOKUP(Open[[#This Row],[TS ZH O/B 25.06.22 Rang]],$AJ$16:$AK$111,2,0)*R$5," ")</f>
        <v xml:space="preserve"> </v>
      </c>
      <c r="S224" s="109" t="str">
        <f>IFERROR(VLOOKUP(Open[[#This Row],[SM BE O/A 09.07.22 Rang]],$AJ$16:$AK$111,2,0)*S$5," ")</f>
        <v xml:space="preserve"> </v>
      </c>
      <c r="T224" s="109" t="str">
        <f>IFERROR(VLOOKUP(Open[[#This Row],[SM BE O/B 09.07.22 Rang]],$AJ$16:$AK$111,2,0)*T$5," ")</f>
        <v xml:space="preserve"> </v>
      </c>
      <c r="U224" s="11">
        <v>0</v>
      </c>
      <c r="V224" s="11">
        <v>0</v>
      </c>
      <c r="W224" s="11">
        <v>0</v>
      </c>
      <c r="X224" s="129"/>
      <c r="Y224" s="191"/>
      <c r="Z224" s="191"/>
      <c r="AA224" s="191"/>
      <c r="AB224" s="191"/>
      <c r="AC224" s="191"/>
      <c r="AD224" s="191"/>
      <c r="AE224" s="191"/>
      <c r="AF224" s="191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BB224" s="4"/>
      <c r="BC224" s="4"/>
      <c r="BD224" s="4"/>
      <c r="BE224" s="4"/>
      <c r="BF224" s="4"/>
      <c r="BG224" s="4"/>
      <c r="BH224" s="4"/>
      <c r="BI224" s="4"/>
    </row>
    <row r="225" spans="1:61" x14ac:dyDescent="0.2">
      <c r="A225" s="11">
        <v>173</v>
      </c>
      <c r="B225" s="11">
        <f>IF(Open[[#This Row],[PR Rang beim letzten Turnier]]&gt;Open[[#This Row],[PR Rang]],1,IF(Open[[#This Row],[PR Rang beim letzten Turnier]]=Open[[#This Row],[PR Rang]],0,-1))</f>
        <v>-1</v>
      </c>
      <c r="C225" s="147">
        <f>RANK(Open[[#This Row],[PR Punkte]],Open[PR Punkte],0)</f>
        <v>205</v>
      </c>
      <c r="D225" s="25" t="s">
        <v>233</v>
      </c>
      <c r="E225" s="31" t="s">
        <v>12</v>
      </c>
      <c r="F225" s="109">
        <f>SUM(Open[[#This Row],[PR 1]:[PR 3]])</f>
        <v>0</v>
      </c>
      <c r="G225" s="109">
        <f>LARGE(Open[[#This Row],[TS SH O 22.02.22]:[PR3]],1)</f>
        <v>0</v>
      </c>
      <c r="H225" s="109">
        <f>LARGE(Open[[#This Row],[TS SH O 22.02.22]:[PR3]],2)</f>
        <v>0</v>
      </c>
      <c r="I225" s="109">
        <f>LARGE(Open[[#This Row],[TS SH O 22.02.22]:[PR3]],3)</f>
        <v>0</v>
      </c>
      <c r="J225" s="31">
        <f>RANK(K225,$K$7:$K$295,0)</f>
        <v>205</v>
      </c>
      <c r="K225" s="109">
        <f>SUM(L225:W225)</f>
        <v>0</v>
      </c>
      <c r="L225" s="109" t="str">
        <f>IFERROR(VLOOKUP(Open[[#This Row],[TS SH 22.02.22 Rang]],$AJ$16:$AK$111,2,0)*L$5," ")</f>
        <v xml:space="preserve"> </v>
      </c>
      <c r="M225" s="109" t="str">
        <f>IFERROR(VLOOKUP(Open[[#This Row],[TS SH O 23.04.22 Rang]],$AJ$16:$AK$111,2,0)*M$5," ")</f>
        <v xml:space="preserve"> </v>
      </c>
      <c r="N225" s="109" t="str">
        <f>IFERROR(VLOOKUP(Open[[#This Row],[TS LA O 08.05.22 Rang]],$AJ$16:$AK$111,2,0)*N$5," ")</f>
        <v xml:space="preserve"> </v>
      </c>
      <c r="O225" s="109" t="str">
        <f>IFERROR(VLOOKUP(Open[[#This Row],[TS SG O 25.05.22 Rang]],$AJ$16:$AK$111,2,0)*O$5," ")</f>
        <v xml:space="preserve"> </v>
      </c>
      <c r="P225" s="109" t="str">
        <f>IFERROR(VLOOKUP(Open[[#This Row],[TS SH O 25.06.22 Rang]],$AJ$16:$AK$111,2,0)*P$5," ")</f>
        <v xml:space="preserve"> </v>
      </c>
      <c r="Q225" s="109" t="str">
        <f>IFERROR(VLOOKUP(Open[[#This Row],[TS ZH O/A 25.06.22 Rang]],$AJ$16:$AK$111,2,0)*Q$5," ")</f>
        <v xml:space="preserve"> </v>
      </c>
      <c r="R225" s="109" t="str">
        <f>IFERROR(VLOOKUP(Open[[#This Row],[TS ZH O/B 25.06.22 Rang]],$AJ$16:$AK$111,2,0)*R$5," ")</f>
        <v xml:space="preserve"> </v>
      </c>
      <c r="S225" s="109" t="str">
        <f>IFERROR(VLOOKUP(Open[[#This Row],[SM BE O/A 09.07.22 Rang]],$AJ$16:$AK$111,2,0)*S$5," ")</f>
        <v xml:space="preserve"> </v>
      </c>
      <c r="T225" s="109" t="str">
        <f>IFERROR(VLOOKUP(Open[[#This Row],[SM BE O/B 09.07.22 Rang]],$AJ$16:$AK$111,2,0)*T$5," ")</f>
        <v xml:space="preserve"> </v>
      </c>
      <c r="U225" s="11">
        <v>0</v>
      </c>
      <c r="V225" s="11">
        <v>0</v>
      </c>
      <c r="W225" s="11">
        <v>0</v>
      </c>
      <c r="X225" s="129"/>
      <c r="Y225" s="191"/>
      <c r="Z225" s="191"/>
      <c r="AA225" s="191"/>
      <c r="AB225" s="191"/>
      <c r="AC225" s="191"/>
      <c r="AD225" s="191"/>
      <c r="AE225" s="191"/>
      <c r="AF225" s="191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BB225" s="4"/>
      <c r="BC225" s="4"/>
      <c r="BD225" s="4"/>
      <c r="BE225" s="4"/>
      <c r="BF225" s="4"/>
      <c r="BG225" s="4"/>
      <c r="BH225" s="4"/>
      <c r="BI225" s="4"/>
    </row>
    <row r="226" spans="1:61" x14ac:dyDescent="0.2">
      <c r="A226" s="11">
        <v>173</v>
      </c>
      <c r="B226" s="11">
        <f>IF(Open[[#This Row],[PR Rang beim letzten Turnier]]&gt;Open[[#This Row],[PR Rang]],1,IF(Open[[#This Row],[PR Rang beim letzten Turnier]]=Open[[#This Row],[PR Rang]],0,-1))</f>
        <v>-1</v>
      </c>
      <c r="C226" s="147">
        <f>RANK(Open[[#This Row],[PR Punkte]],Open[PR Punkte],0)</f>
        <v>205</v>
      </c>
      <c r="D226" s="9" t="s">
        <v>191</v>
      </c>
      <c r="E226" s="9" t="s">
        <v>0</v>
      </c>
      <c r="F226" s="109">
        <f>SUM(Open[[#This Row],[PR 1]:[PR 3]])</f>
        <v>0</v>
      </c>
      <c r="G226" s="109">
        <f>LARGE(Open[[#This Row],[TS SH O 22.02.22]:[PR3]],1)</f>
        <v>0</v>
      </c>
      <c r="H226" s="109">
        <f>LARGE(Open[[#This Row],[TS SH O 22.02.22]:[PR3]],2)</f>
        <v>0</v>
      </c>
      <c r="I226" s="109">
        <f>LARGE(Open[[#This Row],[TS SH O 22.02.22]:[PR3]],3)</f>
        <v>0</v>
      </c>
      <c r="J226" s="9">
        <f>RANK(K226,$K$7:$K$361,0)</f>
        <v>205</v>
      </c>
      <c r="K226" s="109">
        <f>SUM(L226:W226)</f>
        <v>0</v>
      </c>
      <c r="L226" s="109" t="str">
        <f>IFERROR(VLOOKUP(Open[[#This Row],[TS SH 22.02.22 Rang]],$AJ$16:$AK$111,2,0)*L$5," ")</f>
        <v xml:space="preserve"> </v>
      </c>
      <c r="M226" s="109" t="str">
        <f>IFERROR(VLOOKUP(Open[[#This Row],[TS SH O 23.04.22 Rang]],$AJ$16:$AK$111,2,0)*M$5," ")</f>
        <v xml:space="preserve"> </v>
      </c>
      <c r="N226" s="109" t="str">
        <f>IFERROR(VLOOKUP(Open[[#This Row],[TS LA O 08.05.22 Rang]],$AJ$16:$AK$111,2,0)*N$5," ")</f>
        <v xml:space="preserve"> </v>
      </c>
      <c r="O226" s="109" t="str">
        <f>IFERROR(VLOOKUP(Open[[#This Row],[TS SG O 25.05.22 Rang]],$AJ$16:$AK$111,2,0)*O$5," ")</f>
        <v xml:space="preserve"> </v>
      </c>
      <c r="P226" s="109" t="str">
        <f>IFERROR(VLOOKUP(Open[[#This Row],[TS SH O 25.06.22 Rang]],$AJ$16:$AK$111,2,0)*P$5," ")</f>
        <v xml:space="preserve"> </v>
      </c>
      <c r="Q226" s="109" t="str">
        <f>IFERROR(VLOOKUP(Open[[#This Row],[TS ZH O/A 25.06.22 Rang]],$AJ$16:$AK$111,2,0)*Q$5," ")</f>
        <v xml:space="preserve"> </v>
      </c>
      <c r="R226" s="109" t="str">
        <f>IFERROR(VLOOKUP(Open[[#This Row],[TS ZH O/B 25.06.22 Rang]],$AJ$16:$AK$111,2,0)*R$5," ")</f>
        <v xml:space="preserve"> </v>
      </c>
      <c r="S226" s="109" t="str">
        <f>IFERROR(VLOOKUP(Open[[#This Row],[SM BE O/A 09.07.22 Rang]],$AJ$16:$AK$111,2,0)*S$5," ")</f>
        <v xml:space="preserve"> </v>
      </c>
      <c r="T226" s="109" t="str">
        <f>IFERROR(VLOOKUP(Open[[#This Row],[SM BE O/B 09.07.22 Rang]],$AJ$16:$AK$111,2,0)*T$5," ")</f>
        <v xml:space="preserve"> </v>
      </c>
      <c r="U226" s="11">
        <v>0</v>
      </c>
      <c r="V226" s="11">
        <v>0</v>
      </c>
      <c r="W226" s="11">
        <v>0</v>
      </c>
      <c r="X226" s="129"/>
      <c r="Y226" s="191"/>
      <c r="Z226" s="191"/>
      <c r="AA226" s="191"/>
      <c r="AB226" s="191"/>
      <c r="AC226" s="191"/>
      <c r="AD226" s="191"/>
      <c r="AE226" s="191"/>
      <c r="AF226" s="191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BB226" s="4"/>
      <c r="BC226" s="4"/>
      <c r="BD226" s="4"/>
      <c r="BE226" s="4"/>
      <c r="BF226" s="4"/>
      <c r="BG226" s="4"/>
      <c r="BH226" s="4"/>
      <c r="BI226" s="4"/>
    </row>
    <row r="227" spans="1:61" x14ac:dyDescent="0.2">
      <c r="A227" s="11">
        <v>173</v>
      </c>
      <c r="B227" s="11">
        <f>IF(Open[[#This Row],[PR Rang beim letzten Turnier]]&gt;Open[[#This Row],[PR Rang]],1,IF(Open[[#This Row],[PR Rang beim letzten Turnier]]=Open[[#This Row],[PR Rang]],0,-1))</f>
        <v>-1</v>
      </c>
      <c r="C227" s="147">
        <f>RANK(Open[[#This Row],[PR Punkte]],Open[PR Punkte],0)</f>
        <v>205</v>
      </c>
      <c r="D227" s="25" t="s">
        <v>329</v>
      </c>
      <c r="E227" s="160" t="s">
        <v>18</v>
      </c>
      <c r="F227" s="109">
        <f>SUM(Open[[#This Row],[PR 1]:[PR 3]])</f>
        <v>0</v>
      </c>
      <c r="G227" s="109">
        <f>LARGE(Open[[#This Row],[TS SH O 22.02.22]:[PR3]],1)</f>
        <v>0</v>
      </c>
      <c r="H227" s="109">
        <f>LARGE(Open[[#This Row],[TS SH O 22.02.22]:[PR3]],2)</f>
        <v>0</v>
      </c>
      <c r="I227" s="109">
        <f>LARGE(Open[[#This Row],[TS SH O 22.02.22]:[PR3]],3)</f>
        <v>0</v>
      </c>
      <c r="J227" s="160">
        <f>RANK(K227,$K$7:$K$295,0)</f>
        <v>205</v>
      </c>
      <c r="K227" s="109">
        <f>SUM(L227:W227)</f>
        <v>0</v>
      </c>
      <c r="L227" s="109" t="str">
        <f>IFERROR(VLOOKUP(Open[[#This Row],[TS SH 22.02.22 Rang]],$AJ$16:$AK$111,2,0)*L$5," ")</f>
        <v xml:space="preserve"> </v>
      </c>
      <c r="M227" s="109" t="str">
        <f>IFERROR(VLOOKUP(Open[[#This Row],[TS SH O 23.04.22 Rang]],$AJ$16:$AK$111,2,0)*M$5," ")</f>
        <v xml:space="preserve"> </v>
      </c>
      <c r="N227" s="109" t="str">
        <f>IFERROR(VLOOKUP(Open[[#This Row],[TS LA O 08.05.22 Rang]],$AJ$16:$AK$111,2,0)*N$5," ")</f>
        <v xml:space="preserve"> </v>
      </c>
      <c r="O227" s="109" t="str">
        <f>IFERROR(VLOOKUP(Open[[#This Row],[TS SG O 25.05.22 Rang]],$AJ$16:$AK$111,2,0)*O$5," ")</f>
        <v xml:space="preserve"> </v>
      </c>
      <c r="P227" s="109" t="str">
        <f>IFERROR(VLOOKUP(Open[[#This Row],[TS SH O 25.06.22 Rang]],$AJ$16:$AK$111,2,0)*P$5," ")</f>
        <v xml:space="preserve"> </v>
      </c>
      <c r="Q227" s="109" t="str">
        <f>IFERROR(VLOOKUP(Open[[#This Row],[TS ZH O/A 25.06.22 Rang]],$AJ$16:$AK$111,2,0)*Q$5," ")</f>
        <v xml:space="preserve"> </v>
      </c>
      <c r="R227" s="109" t="str">
        <f>IFERROR(VLOOKUP(Open[[#This Row],[TS ZH O/B 25.06.22 Rang]],$AJ$16:$AK$111,2,0)*R$5," ")</f>
        <v xml:space="preserve"> </v>
      </c>
      <c r="S227" s="109" t="str">
        <f>IFERROR(VLOOKUP(Open[[#This Row],[SM BE O/A 09.07.22 Rang]],$AJ$16:$AK$111,2,0)*S$5," ")</f>
        <v xml:space="preserve"> </v>
      </c>
      <c r="T227" s="109" t="str">
        <f>IFERROR(VLOOKUP(Open[[#This Row],[SM BE O/B 09.07.22 Rang]],$AJ$16:$AK$111,2,0)*T$5," ")</f>
        <v xml:space="preserve"> </v>
      </c>
      <c r="U227" s="11">
        <v>0</v>
      </c>
      <c r="V227" s="11">
        <v>0</v>
      </c>
      <c r="W227" s="11">
        <v>0</v>
      </c>
      <c r="X227" s="129"/>
      <c r="Y227" s="191"/>
      <c r="Z227" s="191"/>
      <c r="AA227" s="191"/>
      <c r="AB227" s="191"/>
      <c r="AC227" s="191"/>
      <c r="AD227" s="191"/>
      <c r="AE227" s="191"/>
      <c r="AF227" s="191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BB227" s="4"/>
      <c r="BC227" s="4"/>
      <c r="BD227" s="4"/>
      <c r="BE227" s="4"/>
      <c r="BF227" s="4"/>
      <c r="BG227" s="4"/>
      <c r="BH227" s="4"/>
      <c r="BI227" s="4"/>
    </row>
    <row r="228" spans="1:61" x14ac:dyDescent="0.2">
      <c r="A228" s="11">
        <v>173</v>
      </c>
      <c r="B228" s="11">
        <f>IF(Open[[#This Row],[PR Rang beim letzten Turnier]]&gt;Open[[#This Row],[PR Rang]],1,IF(Open[[#This Row],[PR Rang beim letzten Turnier]]=Open[[#This Row],[PR Rang]],0,-1))</f>
        <v>-1</v>
      </c>
      <c r="C228" s="112">
        <f>RANK(Open[[#This Row],[PR Punkte]],Open[PR Punkte],0)</f>
        <v>205</v>
      </c>
      <c r="D228" s="160" t="s">
        <v>80</v>
      </c>
      <c r="E228" s="9" t="s">
        <v>8</v>
      </c>
      <c r="F228" s="109">
        <f>SUM(Open[[#This Row],[PR 1]:[PR 3]])</f>
        <v>0</v>
      </c>
      <c r="G228" s="109">
        <f>LARGE(Open[[#This Row],[TS SH O 22.02.22]:[PR3]],1)</f>
        <v>0</v>
      </c>
      <c r="H228" s="109">
        <f>LARGE(Open[[#This Row],[TS SH O 22.02.22]:[PR3]],2)</f>
        <v>0</v>
      </c>
      <c r="I228" s="109">
        <f>LARGE(Open[[#This Row],[TS SH O 22.02.22]:[PR3]],3)</f>
        <v>0</v>
      </c>
      <c r="J228" s="9">
        <f>RANK(K228,$K$7:$K$295,0)</f>
        <v>205</v>
      </c>
      <c r="K228" s="109">
        <f>SUM(L228:W228)</f>
        <v>0</v>
      </c>
      <c r="L228" s="109" t="str">
        <f>IFERROR(VLOOKUP(Open[[#This Row],[TS SH 22.02.22 Rang]],$AJ$16:$AK$111,2,0)*L$5," ")</f>
        <v xml:space="preserve"> </v>
      </c>
      <c r="M228" s="109" t="str">
        <f>IFERROR(VLOOKUP(Open[[#This Row],[TS SH O 23.04.22 Rang]],$AJ$16:$AK$111,2,0)*M$5," ")</f>
        <v xml:space="preserve"> </v>
      </c>
      <c r="N228" s="109" t="str">
        <f>IFERROR(VLOOKUP(Open[[#This Row],[TS LA O 08.05.22 Rang]],$AJ$16:$AK$111,2,0)*N$5," ")</f>
        <v xml:space="preserve"> </v>
      </c>
      <c r="O228" s="109" t="str">
        <f>IFERROR(VLOOKUP(Open[[#This Row],[TS SG O 25.05.22 Rang]],$AJ$16:$AK$111,2,0)*O$5," ")</f>
        <v xml:space="preserve"> </v>
      </c>
      <c r="P228" s="109" t="str">
        <f>IFERROR(VLOOKUP(Open[[#This Row],[TS SH O 25.06.22 Rang]],$AJ$16:$AK$111,2,0)*P$5," ")</f>
        <v xml:space="preserve"> </v>
      </c>
      <c r="Q228" s="109" t="str">
        <f>IFERROR(VLOOKUP(Open[[#This Row],[TS ZH O/A 25.06.22 Rang]],$AJ$16:$AK$111,2,0)*Q$5," ")</f>
        <v xml:space="preserve"> </v>
      </c>
      <c r="R228" s="109" t="str">
        <f>IFERROR(VLOOKUP(Open[[#This Row],[TS ZH O/B 25.06.22 Rang]],$AJ$16:$AK$111,2,0)*R$5," ")</f>
        <v xml:space="preserve"> </v>
      </c>
      <c r="S228" s="109" t="str">
        <f>IFERROR(VLOOKUP(Open[[#This Row],[SM BE O/A 09.07.22 Rang]],$AJ$16:$AK$111,2,0)*S$5," ")</f>
        <v xml:space="preserve"> </v>
      </c>
      <c r="T228" s="109" t="str">
        <f>IFERROR(VLOOKUP(Open[[#This Row],[SM BE O/B 09.07.22 Rang]],$AJ$16:$AK$111,2,0)*T$5," ")</f>
        <v xml:space="preserve"> </v>
      </c>
      <c r="U228" s="11">
        <v>0</v>
      </c>
      <c r="V228" s="11">
        <v>0</v>
      </c>
      <c r="W228" s="11">
        <v>0</v>
      </c>
      <c r="X228" s="129"/>
      <c r="Y228" s="191"/>
      <c r="Z228" s="191"/>
      <c r="AA228" s="191"/>
      <c r="AB228" s="191"/>
      <c r="AC228" s="191"/>
      <c r="AD228" s="191"/>
      <c r="AE228" s="191"/>
      <c r="AF228" s="191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BB228" s="4"/>
      <c r="BC228" s="4"/>
      <c r="BD228" s="4"/>
      <c r="BE228" s="4"/>
      <c r="BF228" s="4"/>
      <c r="BG228" s="4"/>
      <c r="BH228" s="4"/>
      <c r="BI228" s="4"/>
    </row>
    <row r="229" spans="1:61" x14ac:dyDescent="0.2">
      <c r="A229" s="11">
        <v>173</v>
      </c>
      <c r="B229" s="11">
        <f>IF(Open[[#This Row],[PR Rang beim letzten Turnier]]&gt;Open[[#This Row],[PR Rang]],1,IF(Open[[#This Row],[PR Rang beim letzten Turnier]]=Open[[#This Row],[PR Rang]],0,-1))</f>
        <v>-1</v>
      </c>
      <c r="C229" s="147">
        <f>RANK(Open[[#This Row],[PR Punkte]],Open[PR Punkte],0)</f>
        <v>205</v>
      </c>
      <c r="D229" s="25" t="s">
        <v>235</v>
      </c>
      <c r="E229" s="31" t="s">
        <v>12</v>
      </c>
      <c r="F229" s="109">
        <f>SUM(Open[[#This Row],[PR 1]:[PR 3]])</f>
        <v>0</v>
      </c>
      <c r="G229" s="109">
        <f>LARGE(Open[[#This Row],[TS SH O 22.02.22]:[PR3]],1)</f>
        <v>0</v>
      </c>
      <c r="H229" s="109">
        <f>LARGE(Open[[#This Row],[TS SH O 22.02.22]:[PR3]],2)</f>
        <v>0</v>
      </c>
      <c r="I229" s="109">
        <f>LARGE(Open[[#This Row],[TS SH O 22.02.22]:[PR3]],3)</f>
        <v>0</v>
      </c>
      <c r="J229" s="31">
        <f>RANK(K229,$K$7:$K$295,0)</f>
        <v>205</v>
      </c>
      <c r="K229" s="109">
        <f>SUM(L229:W229)</f>
        <v>0</v>
      </c>
      <c r="L229" s="109" t="str">
        <f>IFERROR(VLOOKUP(Open[[#This Row],[TS SH 22.02.22 Rang]],$AJ$16:$AK$111,2,0)*L$5," ")</f>
        <v xml:space="preserve"> </v>
      </c>
      <c r="M229" s="109" t="str">
        <f>IFERROR(VLOOKUP(Open[[#This Row],[TS SH O 23.04.22 Rang]],$AJ$16:$AK$111,2,0)*M$5," ")</f>
        <v xml:space="preserve"> </v>
      </c>
      <c r="N229" s="109" t="str">
        <f>IFERROR(VLOOKUP(Open[[#This Row],[TS LA O 08.05.22 Rang]],$AJ$16:$AK$111,2,0)*N$5," ")</f>
        <v xml:space="preserve"> </v>
      </c>
      <c r="O229" s="109" t="str">
        <f>IFERROR(VLOOKUP(Open[[#This Row],[TS SG O 25.05.22 Rang]],$AJ$16:$AK$111,2,0)*O$5," ")</f>
        <v xml:space="preserve"> </v>
      </c>
      <c r="P229" s="109" t="str">
        <f>IFERROR(VLOOKUP(Open[[#This Row],[TS SH O 25.06.22 Rang]],$AJ$16:$AK$111,2,0)*P$5," ")</f>
        <v xml:space="preserve"> </v>
      </c>
      <c r="Q229" s="109" t="str">
        <f>IFERROR(VLOOKUP(Open[[#This Row],[TS ZH O/A 25.06.22 Rang]],$AJ$16:$AK$111,2,0)*Q$5," ")</f>
        <v xml:space="preserve"> </v>
      </c>
      <c r="R229" s="109" t="str">
        <f>IFERROR(VLOOKUP(Open[[#This Row],[TS ZH O/B 25.06.22 Rang]],$AJ$16:$AK$111,2,0)*R$5," ")</f>
        <v xml:space="preserve"> </v>
      </c>
      <c r="S229" s="109" t="str">
        <f>IFERROR(VLOOKUP(Open[[#This Row],[SM BE O/A 09.07.22 Rang]],$AJ$16:$AK$111,2,0)*S$5," ")</f>
        <v xml:space="preserve"> </v>
      </c>
      <c r="T229" s="109" t="str">
        <f>IFERROR(VLOOKUP(Open[[#This Row],[SM BE O/B 09.07.22 Rang]],$AJ$16:$AK$111,2,0)*T$5," ")</f>
        <v xml:space="preserve"> </v>
      </c>
      <c r="U229" s="11">
        <v>0</v>
      </c>
      <c r="V229" s="11">
        <v>0</v>
      </c>
      <c r="W229" s="11">
        <v>0</v>
      </c>
      <c r="X229" s="129"/>
      <c r="Y229" s="191"/>
      <c r="Z229" s="191"/>
      <c r="AA229" s="191"/>
      <c r="AB229" s="191"/>
      <c r="AC229" s="191"/>
      <c r="AD229" s="191"/>
      <c r="AE229" s="191"/>
      <c r="AF229" s="191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BB229" s="4"/>
      <c r="BC229" s="4"/>
      <c r="BD229" s="4"/>
      <c r="BE229" s="4"/>
      <c r="BF229" s="4"/>
      <c r="BG229" s="4"/>
      <c r="BH229" s="4"/>
      <c r="BI229" s="4"/>
    </row>
    <row r="230" spans="1:61" x14ac:dyDescent="0.2">
      <c r="A230" s="11">
        <v>173</v>
      </c>
      <c r="B230" s="11">
        <f>IF(Open[[#This Row],[PR Rang beim letzten Turnier]]&gt;Open[[#This Row],[PR Rang]],1,IF(Open[[#This Row],[PR Rang beim letzten Turnier]]=Open[[#This Row],[PR Rang]],0,-1))</f>
        <v>-1</v>
      </c>
      <c r="C230" s="147">
        <f>RANK(Open[[#This Row],[PR Punkte]],Open[PR Punkte],0)</f>
        <v>205</v>
      </c>
      <c r="D230" s="7" t="s">
        <v>129</v>
      </c>
      <c r="E230" s="11" t="s">
        <v>17</v>
      </c>
      <c r="F230" s="109">
        <f>SUM(Open[[#This Row],[PR 1]:[PR 3]])</f>
        <v>0</v>
      </c>
      <c r="G230" s="109">
        <f>LARGE(Open[[#This Row],[TS SH O 22.02.22]:[PR3]],1)</f>
        <v>0</v>
      </c>
      <c r="H230" s="109">
        <f>LARGE(Open[[#This Row],[TS SH O 22.02.22]:[PR3]],2)</f>
        <v>0</v>
      </c>
      <c r="I230" s="109">
        <f>LARGE(Open[[#This Row],[TS SH O 22.02.22]:[PR3]],3)</f>
        <v>0</v>
      </c>
      <c r="J230" s="11">
        <f>RANK(K230,$K$7:$K$295,0)</f>
        <v>205</v>
      </c>
      <c r="K230" s="109">
        <f>SUM(L230:W230)</f>
        <v>0</v>
      </c>
      <c r="L230" s="109" t="str">
        <f>IFERROR(VLOOKUP(Open[[#This Row],[TS SH 22.02.22 Rang]],$AJ$16:$AK$111,2,0)*L$5," ")</f>
        <v xml:space="preserve"> </v>
      </c>
      <c r="M230" s="109" t="str">
        <f>IFERROR(VLOOKUP(Open[[#This Row],[TS SH O 23.04.22 Rang]],$AJ$16:$AK$111,2,0)*M$5," ")</f>
        <v xml:space="preserve"> </v>
      </c>
      <c r="N230" s="109" t="str">
        <f>IFERROR(VLOOKUP(Open[[#This Row],[TS LA O 08.05.22 Rang]],$AJ$16:$AK$111,2,0)*N$5," ")</f>
        <v xml:space="preserve"> </v>
      </c>
      <c r="O230" s="109" t="str">
        <f>IFERROR(VLOOKUP(Open[[#This Row],[TS SG O 25.05.22 Rang]],$AJ$16:$AK$111,2,0)*O$5," ")</f>
        <v xml:space="preserve"> </v>
      </c>
      <c r="P230" s="109" t="str">
        <f>IFERROR(VLOOKUP(Open[[#This Row],[TS SH O 25.06.22 Rang]],$AJ$16:$AK$111,2,0)*P$5," ")</f>
        <v xml:space="preserve"> </v>
      </c>
      <c r="Q230" s="109" t="str">
        <f>IFERROR(VLOOKUP(Open[[#This Row],[TS ZH O/A 25.06.22 Rang]],$AJ$16:$AK$111,2,0)*Q$5," ")</f>
        <v xml:space="preserve"> </v>
      </c>
      <c r="R230" s="109" t="str">
        <f>IFERROR(VLOOKUP(Open[[#This Row],[TS ZH O/B 25.06.22 Rang]],$AJ$16:$AK$111,2,0)*R$5," ")</f>
        <v xml:space="preserve"> </v>
      </c>
      <c r="S230" s="109" t="str">
        <f>IFERROR(VLOOKUP(Open[[#This Row],[SM BE O/A 09.07.22 Rang]],$AJ$16:$AK$111,2,0)*S$5," ")</f>
        <v xml:space="preserve"> </v>
      </c>
      <c r="T230" s="109" t="str">
        <f>IFERROR(VLOOKUP(Open[[#This Row],[SM BE O/B 09.07.22 Rang]],$AJ$16:$AK$111,2,0)*T$5," ")</f>
        <v xml:space="preserve"> </v>
      </c>
      <c r="U230" s="11">
        <v>0</v>
      </c>
      <c r="V230" s="11">
        <v>0</v>
      </c>
      <c r="W230" s="11">
        <v>0</v>
      </c>
      <c r="X230" s="129"/>
      <c r="Y230" s="191"/>
      <c r="Z230" s="191"/>
      <c r="AA230" s="191"/>
      <c r="AB230" s="191"/>
      <c r="AC230" s="191"/>
      <c r="AD230" s="191"/>
      <c r="AE230" s="191"/>
      <c r="AF230" s="191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BB230" s="4"/>
      <c r="BC230" s="4"/>
      <c r="BD230" s="4"/>
      <c r="BE230" s="4"/>
      <c r="BF230" s="4"/>
      <c r="BG230" s="4"/>
      <c r="BH230" s="4"/>
      <c r="BI230" s="4"/>
    </row>
    <row r="231" spans="1:61" x14ac:dyDescent="0.2">
      <c r="A231" s="11">
        <v>173</v>
      </c>
      <c r="B231" s="11">
        <f>IF(Open[[#This Row],[PR Rang beim letzten Turnier]]&gt;Open[[#This Row],[PR Rang]],1,IF(Open[[#This Row],[PR Rang beim letzten Turnier]]=Open[[#This Row],[PR Rang]],0,-1))</f>
        <v>-1</v>
      </c>
      <c r="C231" s="147">
        <f>RANK(Open[[#This Row],[PR Punkte]],Open[PR Punkte],0)</f>
        <v>205</v>
      </c>
      <c r="D231" s="15" t="s">
        <v>377</v>
      </c>
      <c r="E231" s="31" t="s">
        <v>18</v>
      </c>
      <c r="F231" s="109">
        <f>SUM(Open[[#This Row],[PR 1]:[PR 3]])</f>
        <v>0</v>
      </c>
      <c r="G231" s="109">
        <f>LARGE(Open[[#This Row],[TS SH O 22.02.22]:[PR3]],1)</f>
        <v>0</v>
      </c>
      <c r="H231" s="109">
        <f>LARGE(Open[[#This Row],[TS SH O 22.02.22]:[PR3]],2)</f>
        <v>0</v>
      </c>
      <c r="I231" s="109">
        <f>LARGE(Open[[#This Row],[TS SH O 22.02.22]:[PR3]],3)</f>
        <v>0</v>
      </c>
      <c r="J231" s="31">
        <f>RANK(K231,$K$7:$K$295,0)</f>
        <v>205</v>
      </c>
      <c r="K231" s="109">
        <f>SUM(L231:W231)</f>
        <v>0</v>
      </c>
      <c r="L231" s="109" t="str">
        <f>IFERROR(VLOOKUP(Open[[#This Row],[TS SH 22.02.22 Rang]],$AJ$16:$AK$111,2,0)*L$5," ")</f>
        <v xml:space="preserve"> </v>
      </c>
      <c r="M231" s="109" t="str">
        <f>IFERROR(VLOOKUP(Open[[#This Row],[TS SH O 23.04.22 Rang]],$AJ$16:$AK$111,2,0)*M$5," ")</f>
        <v xml:space="preserve"> </v>
      </c>
      <c r="N231" s="109" t="str">
        <f>IFERROR(VLOOKUP(Open[[#This Row],[TS LA O 08.05.22 Rang]],$AJ$16:$AK$111,2,0)*N$5," ")</f>
        <v xml:space="preserve"> </v>
      </c>
      <c r="O231" s="109" t="str">
        <f>IFERROR(VLOOKUP(Open[[#This Row],[TS SG O 25.05.22 Rang]],$AJ$16:$AK$111,2,0)*O$5," ")</f>
        <v xml:space="preserve"> </v>
      </c>
      <c r="P231" s="109" t="str">
        <f>IFERROR(VLOOKUP(Open[[#This Row],[TS SH O 25.06.22 Rang]],$AJ$16:$AK$111,2,0)*P$5," ")</f>
        <v xml:space="preserve"> </v>
      </c>
      <c r="Q231" s="109" t="str">
        <f>IFERROR(VLOOKUP(Open[[#This Row],[TS ZH O/A 25.06.22 Rang]],$AJ$16:$AK$111,2,0)*Q$5," ")</f>
        <v xml:space="preserve"> </v>
      </c>
      <c r="R231" s="109" t="str">
        <f>IFERROR(VLOOKUP(Open[[#This Row],[TS ZH O/B 25.06.22 Rang]],$AJ$16:$AK$111,2,0)*R$5," ")</f>
        <v xml:space="preserve"> </v>
      </c>
      <c r="S231" s="109" t="str">
        <f>IFERROR(VLOOKUP(Open[[#This Row],[SM BE O/A 09.07.22 Rang]],$AJ$16:$AK$111,2,0)*S$5," ")</f>
        <v xml:space="preserve"> </v>
      </c>
      <c r="T231" s="109" t="str">
        <f>IFERROR(VLOOKUP(Open[[#This Row],[SM BE O/B 09.07.22 Rang]],$AJ$16:$AK$111,2,0)*T$5," ")</f>
        <v xml:space="preserve"> </v>
      </c>
      <c r="U231" s="11">
        <v>0</v>
      </c>
      <c r="V231" s="11">
        <v>0</v>
      </c>
      <c r="W231" s="11">
        <v>0</v>
      </c>
      <c r="X231" s="129"/>
      <c r="Y231" s="191"/>
      <c r="Z231" s="191"/>
      <c r="AA231" s="191"/>
      <c r="AB231" s="191"/>
      <c r="AC231" s="191"/>
      <c r="AD231" s="191"/>
      <c r="AE231" s="191"/>
      <c r="AF231" s="191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BB231" s="4"/>
      <c r="BC231" s="4"/>
      <c r="BD231" s="4"/>
      <c r="BE231" s="4"/>
      <c r="BF231" s="4"/>
      <c r="BG231" s="4"/>
      <c r="BH231" s="4"/>
      <c r="BI231" s="4"/>
    </row>
    <row r="232" spans="1:61" x14ac:dyDescent="0.2">
      <c r="A232" s="11">
        <v>173</v>
      </c>
      <c r="B232" s="11">
        <f>IF(Open[[#This Row],[PR Rang beim letzten Turnier]]&gt;Open[[#This Row],[PR Rang]],1,IF(Open[[#This Row],[PR Rang beim letzten Turnier]]=Open[[#This Row],[PR Rang]],0,-1))</f>
        <v>-1</v>
      </c>
      <c r="C232" s="147">
        <f>RANK(Open[[#This Row],[PR Punkte]],Open[PR Punkte],0)</f>
        <v>205</v>
      </c>
      <c r="D232" s="15" t="s">
        <v>376</v>
      </c>
      <c r="E232" s="31" t="s">
        <v>18</v>
      </c>
      <c r="F232" s="109">
        <f>SUM(Open[[#This Row],[PR 1]:[PR 3]])</f>
        <v>0</v>
      </c>
      <c r="G232" s="109">
        <f>LARGE(Open[[#This Row],[TS SH O 22.02.22]:[PR3]],1)</f>
        <v>0</v>
      </c>
      <c r="H232" s="109">
        <f>LARGE(Open[[#This Row],[TS SH O 22.02.22]:[PR3]],2)</f>
        <v>0</v>
      </c>
      <c r="I232" s="109">
        <f>LARGE(Open[[#This Row],[TS SH O 22.02.22]:[PR3]],3)</f>
        <v>0</v>
      </c>
      <c r="J232" s="31">
        <f>RANK(K232,$K$7:$K$295,0)</f>
        <v>205</v>
      </c>
      <c r="K232" s="109">
        <f>SUM(L232:W232)</f>
        <v>0</v>
      </c>
      <c r="L232" s="109" t="str">
        <f>IFERROR(VLOOKUP(Open[[#This Row],[TS SH 22.02.22 Rang]],$AJ$16:$AK$111,2,0)*L$5," ")</f>
        <v xml:space="preserve"> </v>
      </c>
      <c r="M232" s="109" t="str">
        <f>IFERROR(VLOOKUP(Open[[#This Row],[TS SH O 23.04.22 Rang]],$AJ$16:$AK$111,2,0)*M$5," ")</f>
        <v xml:space="preserve"> </v>
      </c>
      <c r="N232" s="109" t="str">
        <f>IFERROR(VLOOKUP(Open[[#This Row],[TS LA O 08.05.22 Rang]],$AJ$16:$AK$111,2,0)*N$5," ")</f>
        <v xml:space="preserve"> </v>
      </c>
      <c r="O232" s="109" t="str">
        <f>IFERROR(VLOOKUP(Open[[#This Row],[TS SG O 25.05.22 Rang]],$AJ$16:$AK$111,2,0)*O$5," ")</f>
        <v xml:space="preserve"> </v>
      </c>
      <c r="P232" s="109" t="str">
        <f>IFERROR(VLOOKUP(Open[[#This Row],[TS SH O 25.06.22 Rang]],$AJ$16:$AK$111,2,0)*P$5," ")</f>
        <v xml:space="preserve"> </v>
      </c>
      <c r="Q232" s="109" t="str">
        <f>IFERROR(VLOOKUP(Open[[#This Row],[TS ZH O/A 25.06.22 Rang]],$AJ$16:$AK$111,2,0)*Q$5," ")</f>
        <v xml:space="preserve"> </v>
      </c>
      <c r="R232" s="109" t="str">
        <f>IFERROR(VLOOKUP(Open[[#This Row],[TS ZH O/B 25.06.22 Rang]],$AJ$16:$AK$111,2,0)*R$5," ")</f>
        <v xml:space="preserve"> </v>
      </c>
      <c r="S232" s="109" t="str">
        <f>IFERROR(VLOOKUP(Open[[#This Row],[SM BE O/A 09.07.22 Rang]],$AJ$16:$AK$111,2,0)*S$5," ")</f>
        <v xml:space="preserve"> </v>
      </c>
      <c r="T232" s="109" t="str">
        <f>IFERROR(VLOOKUP(Open[[#This Row],[SM BE O/B 09.07.22 Rang]],$AJ$16:$AK$111,2,0)*T$5," ")</f>
        <v xml:space="preserve"> </v>
      </c>
      <c r="U232" s="11">
        <v>0</v>
      </c>
      <c r="V232" s="11">
        <v>0</v>
      </c>
      <c r="W232" s="11">
        <v>0</v>
      </c>
      <c r="X232" s="129"/>
      <c r="Y232" s="191"/>
      <c r="Z232" s="191"/>
      <c r="AA232" s="191"/>
      <c r="AB232" s="191"/>
      <c r="AC232" s="191"/>
      <c r="AD232" s="191"/>
      <c r="AE232" s="191"/>
      <c r="AF232" s="191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BB232" s="4"/>
      <c r="BC232" s="4"/>
      <c r="BD232" s="4"/>
      <c r="BE232" s="4"/>
      <c r="BF232" s="4"/>
      <c r="BG232" s="4"/>
      <c r="BH232" s="4"/>
      <c r="BI232" s="4"/>
    </row>
    <row r="233" spans="1:61" x14ac:dyDescent="0.2">
      <c r="A233" s="11">
        <v>173</v>
      </c>
      <c r="B233" s="11">
        <f>IF(Open[[#This Row],[PR Rang beim letzten Turnier]]&gt;Open[[#This Row],[PR Rang]],1,IF(Open[[#This Row],[PR Rang beim letzten Turnier]]=Open[[#This Row],[PR Rang]],0,-1))</f>
        <v>-1</v>
      </c>
      <c r="C233" s="147">
        <f>RANK(Open[[#This Row],[PR Punkte]],Open[PR Punkte],0)</f>
        <v>205</v>
      </c>
      <c r="D233" s="25" t="s">
        <v>330</v>
      </c>
      <c r="E233" s="160" t="s">
        <v>18</v>
      </c>
      <c r="F233" s="109">
        <f>SUM(Open[[#This Row],[PR 1]:[PR 3]])</f>
        <v>0</v>
      </c>
      <c r="G233" s="109">
        <f>LARGE(Open[[#This Row],[TS SH O 22.02.22]:[PR3]],1)</f>
        <v>0</v>
      </c>
      <c r="H233" s="109">
        <f>LARGE(Open[[#This Row],[TS SH O 22.02.22]:[PR3]],2)</f>
        <v>0</v>
      </c>
      <c r="I233" s="109">
        <f>LARGE(Open[[#This Row],[TS SH O 22.02.22]:[PR3]],3)</f>
        <v>0</v>
      </c>
      <c r="J233" s="160">
        <f>RANK(K233,$K$7:$K$295,0)</f>
        <v>205</v>
      </c>
      <c r="K233" s="109">
        <f>SUM(L233:W233)</f>
        <v>0</v>
      </c>
      <c r="L233" s="109" t="str">
        <f>IFERROR(VLOOKUP(Open[[#This Row],[TS SH 22.02.22 Rang]],$AJ$16:$AK$111,2,0)*L$5," ")</f>
        <v xml:space="preserve"> </v>
      </c>
      <c r="M233" s="109" t="str">
        <f>IFERROR(VLOOKUP(Open[[#This Row],[TS SH O 23.04.22 Rang]],$AJ$16:$AK$111,2,0)*M$5," ")</f>
        <v xml:space="preserve"> </v>
      </c>
      <c r="N233" s="109" t="str">
        <f>IFERROR(VLOOKUP(Open[[#This Row],[TS LA O 08.05.22 Rang]],$AJ$16:$AK$111,2,0)*N$5," ")</f>
        <v xml:space="preserve"> </v>
      </c>
      <c r="O233" s="109" t="str">
        <f>IFERROR(VLOOKUP(Open[[#This Row],[TS SG O 25.05.22 Rang]],$AJ$16:$AK$111,2,0)*O$5," ")</f>
        <v xml:space="preserve"> </v>
      </c>
      <c r="P233" s="109" t="str">
        <f>IFERROR(VLOOKUP(Open[[#This Row],[TS SH O 25.06.22 Rang]],$AJ$16:$AK$111,2,0)*P$5," ")</f>
        <v xml:space="preserve"> </v>
      </c>
      <c r="Q233" s="109" t="str">
        <f>IFERROR(VLOOKUP(Open[[#This Row],[TS ZH O/A 25.06.22 Rang]],$AJ$16:$AK$111,2,0)*Q$5," ")</f>
        <v xml:space="preserve"> </v>
      </c>
      <c r="R233" s="109" t="str">
        <f>IFERROR(VLOOKUP(Open[[#This Row],[TS ZH O/B 25.06.22 Rang]],$AJ$16:$AK$111,2,0)*R$5," ")</f>
        <v xml:space="preserve"> </v>
      </c>
      <c r="S233" s="109" t="str">
        <f>IFERROR(VLOOKUP(Open[[#This Row],[SM BE O/A 09.07.22 Rang]],$AJ$16:$AK$111,2,0)*S$5," ")</f>
        <v xml:space="preserve"> </v>
      </c>
      <c r="T233" s="109" t="str">
        <f>IFERROR(VLOOKUP(Open[[#This Row],[SM BE O/B 09.07.22 Rang]],$AJ$16:$AK$111,2,0)*T$5," ")</f>
        <v xml:space="preserve"> </v>
      </c>
      <c r="U233" s="11">
        <v>0</v>
      </c>
      <c r="V233" s="11">
        <v>0</v>
      </c>
      <c r="W233" s="11">
        <v>0</v>
      </c>
      <c r="X233" s="129"/>
      <c r="Y233" s="191"/>
      <c r="Z233" s="191"/>
      <c r="AA233" s="191"/>
      <c r="AB233" s="191"/>
      <c r="AC233" s="191"/>
      <c r="AD233" s="191"/>
      <c r="AE233" s="191"/>
      <c r="AF233" s="191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BB233" s="4"/>
      <c r="BC233" s="4"/>
      <c r="BD233" s="4"/>
      <c r="BE233" s="4"/>
      <c r="BF233" s="4"/>
      <c r="BG233" s="4"/>
      <c r="BH233" s="4"/>
      <c r="BI233" s="4"/>
    </row>
    <row r="234" spans="1:61" x14ac:dyDescent="0.2">
      <c r="A234" s="11">
        <v>173</v>
      </c>
      <c r="B234" s="11">
        <f>IF(Open[[#This Row],[PR Rang beim letzten Turnier]]&gt;Open[[#This Row],[PR Rang]],1,IF(Open[[#This Row],[PR Rang beim letzten Turnier]]=Open[[#This Row],[PR Rang]],0,-1))</f>
        <v>-1</v>
      </c>
      <c r="C234" s="147">
        <f>RANK(Open[[#This Row],[PR Punkte]],Open[PR Punkte],0)</f>
        <v>205</v>
      </c>
      <c r="D234" s="25" t="s">
        <v>333</v>
      </c>
      <c r="E234" s="160" t="s">
        <v>18</v>
      </c>
      <c r="F234" s="109">
        <f>SUM(Open[[#This Row],[PR 1]:[PR 3]])</f>
        <v>0</v>
      </c>
      <c r="G234" s="109">
        <f>LARGE(Open[[#This Row],[TS SH O 22.02.22]:[PR3]],1)</f>
        <v>0</v>
      </c>
      <c r="H234" s="109">
        <f>LARGE(Open[[#This Row],[TS SH O 22.02.22]:[PR3]],2)</f>
        <v>0</v>
      </c>
      <c r="I234" s="109">
        <f>LARGE(Open[[#This Row],[TS SH O 22.02.22]:[PR3]],3)</f>
        <v>0</v>
      </c>
      <c r="J234" s="160">
        <f>RANK(K234,$K$7:$K$295,0)</f>
        <v>205</v>
      </c>
      <c r="K234" s="109">
        <f>SUM(L234:W234)</f>
        <v>0</v>
      </c>
      <c r="L234" s="109" t="str">
        <f>IFERROR(VLOOKUP(Open[[#This Row],[TS SH 22.02.22 Rang]],$AJ$16:$AK$111,2,0)*L$5," ")</f>
        <v xml:space="preserve"> </v>
      </c>
      <c r="M234" s="109" t="str">
        <f>IFERROR(VLOOKUP(Open[[#This Row],[TS SH O 23.04.22 Rang]],$AJ$16:$AK$111,2,0)*M$5," ")</f>
        <v xml:space="preserve"> </v>
      </c>
      <c r="N234" s="109" t="str">
        <f>IFERROR(VLOOKUP(Open[[#This Row],[TS LA O 08.05.22 Rang]],$AJ$16:$AK$111,2,0)*N$5," ")</f>
        <v xml:space="preserve"> </v>
      </c>
      <c r="O234" s="109" t="str">
        <f>IFERROR(VLOOKUP(Open[[#This Row],[TS SG O 25.05.22 Rang]],$AJ$16:$AK$111,2,0)*O$5," ")</f>
        <v xml:space="preserve"> </v>
      </c>
      <c r="P234" s="109" t="str">
        <f>IFERROR(VLOOKUP(Open[[#This Row],[TS SH O 25.06.22 Rang]],$AJ$16:$AK$111,2,0)*P$5," ")</f>
        <v xml:space="preserve"> </v>
      </c>
      <c r="Q234" s="109" t="str">
        <f>IFERROR(VLOOKUP(Open[[#This Row],[TS ZH O/A 25.06.22 Rang]],$AJ$16:$AK$111,2,0)*Q$5," ")</f>
        <v xml:space="preserve"> </v>
      </c>
      <c r="R234" s="109" t="str">
        <f>IFERROR(VLOOKUP(Open[[#This Row],[TS ZH O/B 25.06.22 Rang]],$AJ$16:$AK$111,2,0)*R$5," ")</f>
        <v xml:space="preserve"> </v>
      </c>
      <c r="S234" s="109" t="str">
        <f>IFERROR(VLOOKUP(Open[[#This Row],[SM BE O/A 09.07.22 Rang]],$AJ$16:$AK$111,2,0)*S$5," ")</f>
        <v xml:space="preserve"> </v>
      </c>
      <c r="T234" s="109" t="str">
        <f>IFERROR(VLOOKUP(Open[[#This Row],[SM BE O/B 09.07.22 Rang]],$AJ$16:$AK$111,2,0)*T$5," ")</f>
        <v xml:space="preserve"> </v>
      </c>
      <c r="U234" s="11">
        <v>0</v>
      </c>
      <c r="V234" s="11">
        <v>0</v>
      </c>
      <c r="W234" s="11">
        <v>0</v>
      </c>
      <c r="X234" s="129"/>
      <c r="Y234" s="191"/>
      <c r="Z234" s="191"/>
      <c r="AA234" s="191"/>
      <c r="AB234" s="191"/>
      <c r="AC234" s="191"/>
      <c r="AD234" s="191"/>
      <c r="AE234" s="191"/>
      <c r="AF234" s="191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BB234" s="4"/>
      <c r="BC234" s="4"/>
      <c r="BD234" s="4"/>
      <c r="BE234" s="4"/>
      <c r="BF234" s="4"/>
      <c r="BG234" s="4"/>
      <c r="BH234" s="4"/>
      <c r="BI234" s="4"/>
    </row>
    <row r="235" spans="1:61" x14ac:dyDescent="0.2">
      <c r="A235" s="11">
        <v>173</v>
      </c>
      <c r="B235" s="11">
        <f>IF(Open[[#This Row],[PR Rang beim letzten Turnier]]&gt;Open[[#This Row],[PR Rang]],1,IF(Open[[#This Row],[PR Rang beim letzten Turnier]]=Open[[#This Row],[PR Rang]],0,-1))</f>
        <v>-1</v>
      </c>
      <c r="C235" s="147">
        <f>RANK(Open[[#This Row],[PR Punkte]],Open[PR Punkte],0)</f>
        <v>205</v>
      </c>
      <c r="D235" s="25" t="s">
        <v>334</v>
      </c>
      <c r="E235" s="17" t="s">
        <v>18</v>
      </c>
      <c r="F235" s="109">
        <f>SUM(Open[[#This Row],[PR 1]:[PR 3]])</f>
        <v>0</v>
      </c>
      <c r="G235" s="109">
        <f>LARGE(Open[[#This Row],[TS SH O 22.02.22]:[PR3]],1)</f>
        <v>0</v>
      </c>
      <c r="H235" s="109">
        <f>LARGE(Open[[#This Row],[TS SH O 22.02.22]:[PR3]],2)</f>
        <v>0</v>
      </c>
      <c r="I235" s="109">
        <f>LARGE(Open[[#This Row],[TS SH O 22.02.22]:[PR3]],3)</f>
        <v>0</v>
      </c>
      <c r="J235" s="17">
        <f>RANK(K235,$K$7:$K$295,0)</f>
        <v>205</v>
      </c>
      <c r="K235" s="109">
        <f>SUM(L235:W235)</f>
        <v>0</v>
      </c>
      <c r="L235" s="109" t="str">
        <f>IFERROR(VLOOKUP(Open[[#This Row],[TS SH 22.02.22 Rang]],$AJ$16:$AK$111,2,0)*L$5," ")</f>
        <v xml:space="preserve"> </v>
      </c>
      <c r="M235" s="109" t="str">
        <f>IFERROR(VLOOKUP(Open[[#This Row],[TS SH O 23.04.22 Rang]],$AJ$16:$AK$111,2,0)*M$5," ")</f>
        <v xml:space="preserve"> </v>
      </c>
      <c r="N235" s="109" t="str">
        <f>IFERROR(VLOOKUP(Open[[#This Row],[TS LA O 08.05.22 Rang]],$AJ$16:$AK$111,2,0)*N$5," ")</f>
        <v xml:space="preserve"> </v>
      </c>
      <c r="O235" s="109" t="str">
        <f>IFERROR(VLOOKUP(Open[[#This Row],[TS SG O 25.05.22 Rang]],$AJ$16:$AK$111,2,0)*O$5," ")</f>
        <v xml:space="preserve"> </v>
      </c>
      <c r="P235" s="109" t="str">
        <f>IFERROR(VLOOKUP(Open[[#This Row],[TS SH O 25.06.22 Rang]],$AJ$16:$AK$111,2,0)*P$5," ")</f>
        <v xml:space="preserve"> </v>
      </c>
      <c r="Q235" s="109" t="str">
        <f>IFERROR(VLOOKUP(Open[[#This Row],[TS ZH O/A 25.06.22 Rang]],$AJ$16:$AK$111,2,0)*Q$5," ")</f>
        <v xml:space="preserve"> </v>
      </c>
      <c r="R235" s="109" t="str">
        <f>IFERROR(VLOOKUP(Open[[#This Row],[TS ZH O/B 25.06.22 Rang]],$AJ$16:$AK$111,2,0)*R$5," ")</f>
        <v xml:space="preserve"> </v>
      </c>
      <c r="S235" s="109" t="str">
        <f>IFERROR(VLOOKUP(Open[[#This Row],[SM BE O/A 09.07.22 Rang]],$AJ$16:$AK$111,2,0)*S$5," ")</f>
        <v xml:space="preserve"> </v>
      </c>
      <c r="T235" s="109" t="str">
        <f>IFERROR(VLOOKUP(Open[[#This Row],[SM BE O/B 09.07.22 Rang]],$AJ$16:$AK$111,2,0)*T$5," ")</f>
        <v xml:space="preserve"> </v>
      </c>
      <c r="U235" s="11">
        <v>0</v>
      </c>
      <c r="V235" s="11">
        <v>0</v>
      </c>
      <c r="W235" s="11">
        <v>0</v>
      </c>
      <c r="X235" s="129"/>
      <c r="Y235" s="191"/>
      <c r="Z235" s="191"/>
      <c r="AA235" s="191"/>
      <c r="AB235" s="191"/>
      <c r="AC235" s="191"/>
      <c r="AD235" s="191"/>
      <c r="AE235" s="191"/>
      <c r="AF235" s="191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BB235" s="4"/>
      <c r="BC235" s="4"/>
      <c r="BD235" s="4"/>
      <c r="BE235" s="4"/>
      <c r="BF235" s="4"/>
      <c r="BG235" s="4"/>
      <c r="BH235" s="4"/>
      <c r="BI235" s="4"/>
    </row>
    <row r="236" spans="1:61" x14ac:dyDescent="0.2">
      <c r="A236" s="11">
        <v>173</v>
      </c>
      <c r="B236" s="11">
        <f>IF(Open[[#This Row],[PR Rang beim letzten Turnier]]&gt;Open[[#This Row],[PR Rang]],1,IF(Open[[#This Row],[PR Rang beim letzten Turnier]]=Open[[#This Row],[PR Rang]],0,-1))</f>
        <v>-1</v>
      </c>
      <c r="C236" s="147">
        <f>RANK(Open[[#This Row],[PR Punkte]],Open[PR Punkte],0)</f>
        <v>205</v>
      </c>
      <c r="D236" s="25" t="s">
        <v>331</v>
      </c>
      <c r="E236" s="160" t="s">
        <v>13</v>
      </c>
      <c r="F236" s="109">
        <f>SUM(Open[[#This Row],[PR 1]:[PR 3]])</f>
        <v>0</v>
      </c>
      <c r="G236" s="109">
        <f>LARGE(Open[[#This Row],[TS SH O 22.02.22]:[PR3]],1)</f>
        <v>0</v>
      </c>
      <c r="H236" s="109">
        <f>LARGE(Open[[#This Row],[TS SH O 22.02.22]:[PR3]],2)</f>
        <v>0</v>
      </c>
      <c r="I236" s="109">
        <f>LARGE(Open[[#This Row],[TS SH O 22.02.22]:[PR3]],3)</f>
        <v>0</v>
      </c>
      <c r="J236" s="160">
        <f>RANK(K236,$K$7:$K$295,0)</f>
        <v>205</v>
      </c>
      <c r="K236" s="109">
        <f>SUM(L236:W236)</f>
        <v>0</v>
      </c>
      <c r="L236" s="109" t="str">
        <f>IFERROR(VLOOKUP(Open[[#This Row],[TS SH 22.02.22 Rang]],$AJ$16:$AK$111,2,0)*L$5," ")</f>
        <v xml:space="preserve"> </v>
      </c>
      <c r="M236" s="109" t="str">
        <f>IFERROR(VLOOKUP(Open[[#This Row],[TS SH O 23.04.22 Rang]],$AJ$16:$AK$111,2,0)*M$5," ")</f>
        <v xml:space="preserve"> </v>
      </c>
      <c r="N236" s="109" t="str">
        <f>IFERROR(VLOOKUP(Open[[#This Row],[TS LA O 08.05.22 Rang]],$AJ$16:$AK$111,2,0)*N$5," ")</f>
        <v xml:space="preserve"> </v>
      </c>
      <c r="O236" s="109" t="str">
        <f>IFERROR(VLOOKUP(Open[[#This Row],[TS SG O 25.05.22 Rang]],$AJ$16:$AK$111,2,0)*O$5," ")</f>
        <v xml:space="preserve"> </v>
      </c>
      <c r="P236" s="109" t="str">
        <f>IFERROR(VLOOKUP(Open[[#This Row],[TS SH O 25.06.22 Rang]],$AJ$16:$AK$111,2,0)*P$5," ")</f>
        <v xml:space="preserve"> </v>
      </c>
      <c r="Q236" s="109" t="str">
        <f>IFERROR(VLOOKUP(Open[[#This Row],[TS ZH O/A 25.06.22 Rang]],$AJ$16:$AK$111,2,0)*Q$5," ")</f>
        <v xml:space="preserve"> </v>
      </c>
      <c r="R236" s="109" t="str">
        <f>IFERROR(VLOOKUP(Open[[#This Row],[TS ZH O/B 25.06.22 Rang]],$AJ$16:$AK$111,2,0)*R$5," ")</f>
        <v xml:space="preserve"> </v>
      </c>
      <c r="S236" s="109" t="str">
        <f>IFERROR(VLOOKUP(Open[[#This Row],[SM BE O/A 09.07.22 Rang]],$AJ$16:$AK$111,2,0)*S$5," ")</f>
        <v xml:space="preserve"> </v>
      </c>
      <c r="T236" s="109" t="str">
        <f>IFERROR(VLOOKUP(Open[[#This Row],[SM BE O/B 09.07.22 Rang]],$AJ$16:$AK$111,2,0)*T$5," ")</f>
        <v xml:space="preserve"> </v>
      </c>
      <c r="U236" s="11">
        <v>0</v>
      </c>
      <c r="V236" s="11">
        <v>0</v>
      </c>
      <c r="W236" s="11">
        <v>0</v>
      </c>
      <c r="X236" s="129"/>
      <c r="Y236" s="191"/>
      <c r="Z236" s="191"/>
      <c r="AA236" s="191"/>
      <c r="AB236" s="191"/>
      <c r="AC236" s="191"/>
      <c r="AD236" s="191"/>
      <c r="AE236" s="191"/>
      <c r="AF236" s="191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BB236" s="4"/>
      <c r="BC236" s="4"/>
      <c r="BD236" s="4"/>
      <c r="BE236" s="4"/>
      <c r="BF236" s="4"/>
      <c r="BG236" s="4"/>
      <c r="BH236" s="4"/>
      <c r="BI236" s="4"/>
    </row>
    <row r="237" spans="1:61" x14ac:dyDescent="0.2">
      <c r="A237" s="11">
        <v>173</v>
      </c>
      <c r="B237" s="11">
        <f>IF(Open[[#This Row],[PR Rang beim letzten Turnier]]&gt;Open[[#This Row],[PR Rang]],1,IF(Open[[#This Row],[PR Rang beim letzten Turnier]]=Open[[#This Row],[PR Rang]],0,-1))</f>
        <v>-1</v>
      </c>
      <c r="C237" s="147">
        <f>RANK(Open[[#This Row],[PR Punkte]],Open[PR Punkte],0)</f>
        <v>205</v>
      </c>
      <c r="D237" s="25" t="s">
        <v>335</v>
      </c>
      <c r="E237" s="160" t="s">
        <v>18</v>
      </c>
      <c r="F237" s="109">
        <f>SUM(Open[[#This Row],[PR 1]:[PR 3]])</f>
        <v>0</v>
      </c>
      <c r="G237" s="109">
        <f>LARGE(Open[[#This Row],[TS SH O 22.02.22]:[PR3]],1)</f>
        <v>0</v>
      </c>
      <c r="H237" s="109">
        <f>LARGE(Open[[#This Row],[TS SH O 22.02.22]:[PR3]],2)</f>
        <v>0</v>
      </c>
      <c r="I237" s="109">
        <f>LARGE(Open[[#This Row],[TS SH O 22.02.22]:[PR3]],3)</f>
        <v>0</v>
      </c>
      <c r="J237" s="160">
        <f>RANK(K237,$K$7:$K$295,0)</f>
        <v>205</v>
      </c>
      <c r="K237" s="109">
        <f>SUM(L237:W237)</f>
        <v>0</v>
      </c>
      <c r="L237" s="109" t="str">
        <f>IFERROR(VLOOKUP(Open[[#This Row],[TS SH 22.02.22 Rang]],$AJ$16:$AK$111,2,0)*L$5," ")</f>
        <v xml:space="preserve"> </v>
      </c>
      <c r="M237" s="109" t="str">
        <f>IFERROR(VLOOKUP(Open[[#This Row],[TS SH O 23.04.22 Rang]],$AJ$16:$AK$111,2,0)*M$5," ")</f>
        <v xml:space="preserve"> </v>
      </c>
      <c r="N237" s="109" t="str">
        <f>IFERROR(VLOOKUP(Open[[#This Row],[TS LA O 08.05.22 Rang]],$AJ$16:$AK$111,2,0)*N$5," ")</f>
        <v xml:space="preserve"> </v>
      </c>
      <c r="O237" s="109" t="str">
        <f>IFERROR(VLOOKUP(Open[[#This Row],[TS SG O 25.05.22 Rang]],$AJ$16:$AK$111,2,0)*O$5," ")</f>
        <v xml:space="preserve"> </v>
      </c>
      <c r="P237" s="109" t="str">
        <f>IFERROR(VLOOKUP(Open[[#This Row],[TS SH O 25.06.22 Rang]],$AJ$16:$AK$111,2,0)*P$5," ")</f>
        <v xml:space="preserve"> </v>
      </c>
      <c r="Q237" s="109" t="str">
        <f>IFERROR(VLOOKUP(Open[[#This Row],[TS ZH O/A 25.06.22 Rang]],$AJ$16:$AK$111,2,0)*Q$5," ")</f>
        <v xml:space="preserve"> </v>
      </c>
      <c r="R237" s="109" t="str">
        <f>IFERROR(VLOOKUP(Open[[#This Row],[TS ZH O/B 25.06.22 Rang]],$AJ$16:$AK$111,2,0)*R$5," ")</f>
        <v xml:space="preserve"> </v>
      </c>
      <c r="S237" s="109" t="str">
        <f>IFERROR(VLOOKUP(Open[[#This Row],[SM BE O/A 09.07.22 Rang]],$AJ$16:$AK$111,2,0)*S$5," ")</f>
        <v xml:space="preserve"> </v>
      </c>
      <c r="T237" s="109" t="str">
        <f>IFERROR(VLOOKUP(Open[[#This Row],[SM BE O/B 09.07.22 Rang]],$AJ$16:$AK$111,2,0)*T$5," ")</f>
        <v xml:space="preserve"> </v>
      </c>
      <c r="U237" s="11">
        <v>0</v>
      </c>
      <c r="V237" s="11">
        <v>0</v>
      </c>
      <c r="W237" s="11">
        <v>0</v>
      </c>
      <c r="X237" s="129"/>
      <c r="Y237" s="191"/>
      <c r="Z237" s="191"/>
      <c r="AA237" s="191"/>
      <c r="AB237" s="191"/>
      <c r="AC237" s="191"/>
      <c r="AD237" s="191"/>
      <c r="AE237" s="191"/>
      <c r="AF237" s="191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BB237" s="4"/>
      <c r="BC237" s="4"/>
      <c r="BD237" s="4"/>
      <c r="BE237" s="4"/>
      <c r="BF237" s="4"/>
      <c r="BG237" s="4"/>
      <c r="BH237" s="4"/>
      <c r="BI237" s="4"/>
    </row>
    <row r="238" spans="1:61" x14ac:dyDescent="0.2">
      <c r="A238" s="11">
        <v>173</v>
      </c>
      <c r="B238" s="11">
        <f>IF(Open[[#This Row],[PR Rang beim letzten Turnier]]&gt;Open[[#This Row],[PR Rang]],1,IF(Open[[#This Row],[PR Rang beim letzten Turnier]]=Open[[#This Row],[PR Rang]],0,-1))</f>
        <v>-1</v>
      </c>
      <c r="C238" s="147">
        <f>RANK(Open[[#This Row],[PR Punkte]],Open[PR Punkte],0)</f>
        <v>205</v>
      </c>
      <c r="D238" s="31" t="s">
        <v>99</v>
      </c>
      <c r="E238" s="9" t="s">
        <v>8</v>
      </c>
      <c r="F238" s="109">
        <f>SUM(Open[[#This Row],[PR 1]:[PR 3]])</f>
        <v>0</v>
      </c>
      <c r="G238" s="109">
        <f>LARGE(Open[[#This Row],[TS SH O 22.02.22]:[PR3]],1)</f>
        <v>0</v>
      </c>
      <c r="H238" s="109">
        <f>LARGE(Open[[#This Row],[TS SH O 22.02.22]:[PR3]],2)</f>
        <v>0</v>
      </c>
      <c r="I238" s="109">
        <f>LARGE(Open[[#This Row],[TS SH O 22.02.22]:[PR3]],3)</f>
        <v>0</v>
      </c>
      <c r="J238" s="9">
        <f>RANK(K238,$K$7:$K$295,0)</f>
        <v>205</v>
      </c>
      <c r="K238" s="109">
        <f>SUM(L238:W238)</f>
        <v>0</v>
      </c>
      <c r="L238" s="109" t="str">
        <f>IFERROR(VLOOKUP(Open[[#This Row],[TS SH 22.02.22 Rang]],$AJ$16:$AK$111,2,0)*L$5," ")</f>
        <v xml:space="preserve"> </v>
      </c>
      <c r="M238" s="109" t="str">
        <f>IFERROR(VLOOKUP(Open[[#This Row],[TS SH O 23.04.22 Rang]],$AJ$16:$AK$111,2,0)*M$5," ")</f>
        <v xml:space="preserve"> </v>
      </c>
      <c r="N238" s="109" t="str">
        <f>IFERROR(VLOOKUP(Open[[#This Row],[TS LA O 08.05.22 Rang]],$AJ$16:$AK$111,2,0)*N$5," ")</f>
        <v xml:space="preserve"> </v>
      </c>
      <c r="O238" s="109" t="str">
        <f>IFERROR(VLOOKUP(Open[[#This Row],[TS SG O 25.05.22 Rang]],$AJ$16:$AK$111,2,0)*O$5," ")</f>
        <v xml:space="preserve"> </v>
      </c>
      <c r="P238" s="109" t="str">
        <f>IFERROR(VLOOKUP(Open[[#This Row],[TS SH O 25.06.22 Rang]],$AJ$16:$AK$111,2,0)*P$5," ")</f>
        <v xml:space="preserve"> </v>
      </c>
      <c r="Q238" s="109" t="str">
        <f>IFERROR(VLOOKUP(Open[[#This Row],[TS ZH O/A 25.06.22 Rang]],$AJ$16:$AK$111,2,0)*Q$5," ")</f>
        <v xml:space="preserve"> </v>
      </c>
      <c r="R238" s="109" t="str">
        <f>IFERROR(VLOOKUP(Open[[#This Row],[TS ZH O/B 25.06.22 Rang]],$AJ$16:$AK$111,2,0)*R$5," ")</f>
        <v xml:space="preserve"> </v>
      </c>
      <c r="S238" s="109" t="str">
        <f>IFERROR(VLOOKUP(Open[[#This Row],[SM BE O/A 09.07.22 Rang]],$AJ$16:$AK$111,2,0)*S$5," ")</f>
        <v xml:space="preserve"> </v>
      </c>
      <c r="T238" s="109" t="str">
        <f>IFERROR(VLOOKUP(Open[[#This Row],[SM BE O/B 09.07.22 Rang]],$AJ$16:$AK$111,2,0)*T$5," ")</f>
        <v xml:space="preserve"> </v>
      </c>
      <c r="U238" s="11">
        <v>0</v>
      </c>
      <c r="V238" s="11">
        <v>0</v>
      </c>
      <c r="W238" s="11">
        <v>0</v>
      </c>
      <c r="X238" s="129"/>
      <c r="Y238" s="191"/>
      <c r="Z238" s="191"/>
      <c r="AA238" s="191"/>
      <c r="AB238" s="191"/>
      <c r="AC238" s="191"/>
      <c r="AD238" s="191"/>
      <c r="AE238" s="191"/>
      <c r="AF238" s="191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BB238" s="4"/>
      <c r="BC238" s="4"/>
      <c r="BD238" s="4"/>
      <c r="BE238" s="4"/>
      <c r="BF238" s="4"/>
      <c r="BG238" s="4"/>
      <c r="BH238" s="4"/>
      <c r="BI238" s="4"/>
    </row>
    <row r="239" spans="1:61" x14ac:dyDescent="0.2">
      <c r="A239" s="86">
        <v>173</v>
      </c>
      <c r="B239" s="86">
        <f>IF(Open[[#This Row],[PR Rang beim letzten Turnier]]&gt;Open[[#This Row],[PR Rang]],1,IF(Open[[#This Row],[PR Rang beim letzten Turnier]]=Open[[#This Row],[PR Rang]],0,-1))</f>
        <v>-1</v>
      </c>
      <c r="C239" s="194">
        <f>RANK(Open[[#This Row],[PR Punkte]],Open[PR Punkte],0)</f>
        <v>205</v>
      </c>
      <c r="D239" s="9" t="s">
        <v>552</v>
      </c>
      <c r="E239" s="11" t="s">
        <v>11</v>
      </c>
      <c r="F239" s="195">
        <f>SUM(Open[[#This Row],[PR 1]:[PR 3]])</f>
        <v>0</v>
      </c>
      <c r="G239" s="109">
        <f>LARGE(Open[[#This Row],[TS SH O 22.02.22]:[PR3]],1)</f>
        <v>0</v>
      </c>
      <c r="H239" s="109">
        <f>LARGE(Open[[#This Row],[TS SH O 22.02.22]:[PR3]],2)</f>
        <v>0</v>
      </c>
      <c r="I239" s="109">
        <f>LARGE(Open[[#This Row],[TS SH O 22.02.22]:[PR3]],3)</f>
        <v>0</v>
      </c>
      <c r="J239" s="196">
        <f>RANK(K239,$K$7:$K$361,0)</f>
        <v>205</v>
      </c>
      <c r="K239" s="109">
        <f>SUM(L239:W239)</f>
        <v>0</v>
      </c>
      <c r="L239" s="109"/>
      <c r="M239" s="109" t="str">
        <f>IFERROR(VLOOKUP(Open[[#This Row],[TS SH O 23.04.22 Rang]],$AJ$16:$AK$111,2,0)*M$5," ")</f>
        <v xml:space="preserve"> </v>
      </c>
      <c r="N239" s="109" t="str">
        <f>IFERROR(VLOOKUP(Open[[#This Row],[TS LA O 08.05.22 Rang]],$AJ$16:$AK$111,2,0)*N$5," ")</f>
        <v xml:space="preserve"> </v>
      </c>
      <c r="O239" s="109" t="str">
        <f>IFERROR(VLOOKUP(Open[[#This Row],[TS SG O 25.05.22 Rang]],$AJ$16:$AK$111,2,0)*O$5," ")</f>
        <v xml:space="preserve"> </v>
      </c>
      <c r="P239" s="109" t="str">
        <f>IFERROR(VLOOKUP(Open[[#This Row],[TS SH O 25.06.22 Rang]],$AJ$16:$AK$111,2,0)*P$5," ")</f>
        <v xml:space="preserve"> </v>
      </c>
      <c r="Q239" s="109" t="str">
        <f>IFERROR(VLOOKUP(Open[[#This Row],[TS ZH O/A 25.06.22 Rang]],$AJ$16:$AK$111,2,0)*Q$5," ")</f>
        <v xml:space="preserve"> </v>
      </c>
      <c r="R239" s="109" t="str">
        <f>IFERROR(VLOOKUP(Open[[#This Row],[TS ZH O/B 25.06.22 Rang]],$AJ$16:$AK$111,2,0)*R$5," ")</f>
        <v xml:space="preserve"> </v>
      </c>
      <c r="S239" s="109" t="str">
        <f>IFERROR(VLOOKUP(Open[[#This Row],[SM BE O/A 09.07.22 Rang]],$AJ$16:$AK$111,2,0)*S$5," ")</f>
        <v xml:space="preserve"> </v>
      </c>
      <c r="T239" s="109" t="str">
        <f>IFERROR(VLOOKUP(Open[[#This Row],[SM BE O/B 09.07.22 Rang]],$AJ$16:$AK$111,2,0)*T$5," ")</f>
        <v xml:space="preserve"> </v>
      </c>
      <c r="U239" s="11">
        <v>0</v>
      </c>
      <c r="V239" s="11">
        <v>0</v>
      </c>
      <c r="W239" s="11">
        <v>0</v>
      </c>
      <c r="X239" s="129"/>
      <c r="Y239" s="191"/>
      <c r="Z239" s="191"/>
      <c r="AA239" s="191"/>
      <c r="AB239" s="191"/>
      <c r="AC239" s="191"/>
      <c r="AD239" s="191"/>
      <c r="AE239" s="191"/>
      <c r="AF239" s="191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BB239" s="4"/>
      <c r="BC239" s="4"/>
      <c r="BD239" s="4"/>
      <c r="BE239" s="4"/>
      <c r="BF239" s="4"/>
      <c r="BG239" s="4"/>
      <c r="BH239" s="4"/>
      <c r="BI239" s="4"/>
    </row>
    <row r="240" spans="1:61" x14ac:dyDescent="0.2">
      <c r="A240" s="86">
        <v>173</v>
      </c>
      <c r="B240" s="86">
        <f>IF(Open[[#This Row],[PR Rang beim letzten Turnier]]&gt;Open[[#This Row],[PR Rang]],1,IF(Open[[#This Row],[PR Rang beim letzten Turnier]]=Open[[#This Row],[PR Rang]],0,-1))</f>
        <v>-1</v>
      </c>
      <c r="C240" s="194">
        <f>RANK(Open[[#This Row],[PR Punkte]],Open[PR Punkte],0)</f>
        <v>205</v>
      </c>
      <c r="D240" s="9" t="s">
        <v>553</v>
      </c>
      <c r="E240" s="11" t="s">
        <v>11</v>
      </c>
      <c r="F240" s="195">
        <f>SUM(Open[[#This Row],[PR 1]:[PR 3]])</f>
        <v>0</v>
      </c>
      <c r="G240" s="109">
        <f>LARGE(Open[[#This Row],[TS SH O 22.02.22]:[PR3]],1)</f>
        <v>0</v>
      </c>
      <c r="H240" s="109">
        <f>LARGE(Open[[#This Row],[TS SH O 22.02.22]:[PR3]],2)</f>
        <v>0</v>
      </c>
      <c r="I240" s="109">
        <f>LARGE(Open[[#This Row],[TS SH O 22.02.22]:[PR3]],3)</f>
        <v>0</v>
      </c>
      <c r="J240" s="196">
        <f>RANK(K240,$K$7:$K$361,0)</f>
        <v>205</v>
      </c>
      <c r="K240" s="109">
        <f>SUM(L240:W240)</f>
        <v>0</v>
      </c>
      <c r="L240" s="109"/>
      <c r="M240" s="109" t="str">
        <f>IFERROR(VLOOKUP(Open[[#This Row],[TS SH O 23.04.22 Rang]],$AJ$16:$AK$111,2,0)*M$5," ")</f>
        <v xml:space="preserve"> </v>
      </c>
      <c r="N240" s="109" t="str">
        <f>IFERROR(VLOOKUP(Open[[#This Row],[TS LA O 08.05.22 Rang]],$AJ$16:$AK$111,2,0)*N$5," ")</f>
        <v xml:space="preserve"> </v>
      </c>
      <c r="O240" s="109" t="str">
        <f>IFERROR(VLOOKUP(Open[[#This Row],[TS SG O 25.05.22 Rang]],$AJ$16:$AK$111,2,0)*O$5," ")</f>
        <v xml:space="preserve"> </v>
      </c>
      <c r="P240" s="109" t="str">
        <f>IFERROR(VLOOKUP(Open[[#This Row],[TS SH O 25.06.22 Rang]],$AJ$16:$AK$111,2,0)*P$5," ")</f>
        <v xml:space="preserve"> </v>
      </c>
      <c r="Q240" s="109" t="str">
        <f>IFERROR(VLOOKUP(Open[[#This Row],[TS ZH O/A 25.06.22 Rang]],$AJ$16:$AK$111,2,0)*Q$5," ")</f>
        <v xml:space="preserve"> </v>
      </c>
      <c r="R240" s="109" t="str">
        <f>IFERROR(VLOOKUP(Open[[#This Row],[TS ZH O/B 25.06.22 Rang]],$AJ$16:$AK$111,2,0)*R$5," ")</f>
        <v xml:space="preserve"> </v>
      </c>
      <c r="S240" s="109" t="str">
        <f>IFERROR(VLOOKUP(Open[[#This Row],[SM BE O/A 09.07.22 Rang]],$AJ$16:$AK$111,2,0)*S$5," ")</f>
        <v xml:space="preserve"> </v>
      </c>
      <c r="T240" s="109" t="str">
        <f>IFERROR(VLOOKUP(Open[[#This Row],[SM BE O/B 09.07.22 Rang]],$AJ$16:$AK$111,2,0)*T$5," ")</f>
        <v xml:space="preserve"> </v>
      </c>
      <c r="U240" s="11">
        <v>0</v>
      </c>
      <c r="V240" s="11">
        <v>0</v>
      </c>
      <c r="W240" s="11">
        <v>0</v>
      </c>
      <c r="X240" s="129"/>
      <c r="Y240" s="191"/>
      <c r="Z240" s="191"/>
      <c r="AA240" s="191"/>
      <c r="AB240" s="191"/>
      <c r="AC240" s="191"/>
      <c r="AD240" s="191"/>
      <c r="AE240" s="191"/>
      <c r="AF240" s="191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BB240" s="4"/>
      <c r="BC240" s="4"/>
      <c r="BD240" s="4"/>
      <c r="BE240" s="4"/>
      <c r="BF240" s="4"/>
      <c r="BG240" s="4"/>
      <c r="BH240" s="4"/>
      <c r="BI240" s="4"/>
    </row>
    <row r="241" spans="1:61" x14ac:dyDescent="0.2">
      <c r="A241" s="86">
        <v>173</v>
      </c>
      <c r="B241" s="86">
        <f>IF(Open[[#This Row],[PR Rang beim letzten Turnier]]&gt;Open[[#This Row],[PR Rang]],1,IF(Open[[#This Row],[PR Rang beim letzten Turnier]]=Open[[#This Row],[PR Rang]],0,-1))</f>
        <v>-1</v>
      </c>
      <c r="C241" s="194">
        <f>RANK(Open[[#This Row],[PR Punkte]],Open[PR Punkte],0)</f>
        <v>205</v>
      </c>
      <c r="D241" s="9" t="s">
        <v>554</v>
      </c>
      <c r="E241" s="11" t="s">
        <v>11</v>
      </c>
      <c r="F241" s="195">
        <f>SUM(Open[[#This Row],[PR 1]:[PR 3]])</f>
        <v>0</v>
      </c>
      <c r="G241" s="109">
        <f>LARGE(Open[[#This Row],[TS SH O 22.02.22]:[PR3]],1)</f>
        <v>0</v>
      </c>
      <c r="H241" s="109">
        <f>LARGE(Open[[#This Row],[TS SH O 22.02.22]:[PR3]],2)</f>
        <v>0</v>
      </c>
      <c r="I241" s="109">
        <f>LARGE(Open[[#This Row],[TS SH O 22.02.22]:[PR3]],3)</f>
        <v>0</v>
      </c>
      <c r="J241" s="196">
        <f>RANK(K241,$K$7:$K$361,0)</f>
        <v>205</v>
      </c>
      <c r="K241" s="109">
        <f>SUM(L241:W241)</f>
        <v>0</v>
      </c>
      <c r="L241" s="109"/>
      <c r="M241" s="109" t="str">
        <f>IFERROR(VLOOKUP(Open[[#This Row],[TS SH O 23.04.22 Rang]],$AJ$16:$AK$111,2,0)*M$5," ")</f>
        <v xml:space="preserve"> </v>
      </c>
      <c r="N241" s="109" t="str">
        <f>IFERROR(VLOOKUP(Open[[#This Row],[TS LA O 08.05.22 Rang]],$AJ$16:$AK$111,2,0)*N$5," ")</f>
        <v xml:space="preserve"> </v>
      </c>
      <c r="O241" s="109" t="str">
        <f>IFERROR(VLOOKUP(Open[[#This Row],[TS SG O 25.05.22 Rang]],$AJ$16:$AK$111,2,0)*O$5," ")</f>
        <v xml:space="preserve"> </v>
      </c>
      <c r="P241" s="109" t="str">
        <f>IFERROR(VLOOKUP(Open[[#This Row],[TS SH O 25.06.22 Rang]],$AJ$16:$AK$111,2,0)*P$5," ")</f>
        <v xml:space="preserve"> </v>
      </c>
      <c r="Q241" s="109" t="str">
        <f>IFERROR(VLOOKUP(Open[[#This Row],[TS ZH O/A 25.06.22 Rang]],$AJ$16:$AK$111,2,0)*Q$5," ")</f>
        <v xml:space="preserve"> </v>
      </c>
      <c r="R241" s="109" t="str">
        <f>IFERROR(VLOOKUP(Open[[#This Row],[TS ZH O/B 25.06.22 Rang]],$AJ$16:$AK$111,2,0)*R$5," ")</f>
        <v xml:space="preserve"> </v>
      </c>
      <c r="S241" s="109" t="str">
        <f>IFERROR(VLOOKUP(Open[[#This Row],[SM BE O/A 09.07.22 Rang]],$AJ$16:$AK$111,2,0)*S$5," ")</f>
        <v xml:space="preserve"> </v>
      </c>
      <c r="T241" s="109" t="str">
        <f>IFERROR(VLOOKUP(Open[[#This Row],[SM BE O/B 09.07.22 Rang]],$AJ$16:$AK$111,2,0)*T$5," ")</f>
        <v xml:space="preserve"> </v>
      </c>
      <c r="U241" s="11">
        <v>0</v>
      </c>
      <c r="V241" s="11">
        <v>0</v>
      </c>
      <c r="W241" s="11">
        <v>0</v>
      </c>
      <c r="X241" s="129"/>
      <c r="Y241" s="191"/>
      <c r="Z241" s="191"/>
      <c r="AA241" s="191"/>
      <c r="AB241" s="191"/>
      <c r="AC241" s="191"/>
      <c r="AD241" s="191"/>
      <c r="AE241" s="191"/>
      <c r="AF241" s="191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BB241" s="4"/>
      <c r="BC241" s="4"/>
      <c r="BD241" s="4"/>
      <c r="BE241" s="4"/>
      <c r="BF241" s="4"/>
      <c r="BG241" s="4"/>
      <c r="BH241" s="4"/>
      <c r="BI241" s="4"/>
    </row>
    <row r="242" spans="1:61" x14ac:dyDescent="0.2">
      <c r="A242" s="196">
        <v>173</v>
      </c>
      <c r="B242" s="196">
        <f>IF(Open[[#This Row],[PR Rang beim letzten Turnier]]&gt;Open[[#This Row],[PR Rang]],1,IF(Open[[#This Row],[PR Rang beim letzten Turnier]]=Open[[#This Row],[PR Rang]],0,-1))</f>
        <v>-1</v>
      </c>
      <c r="C242" s="224">
        <f>RANK(Open[[#This Row],[PR Punkte]],Open[PR Punkte],0)</f>
        <v>205</v>
      </c>
      <c r="D242" s="9" t="s">
        <v>347</v>
      </c>
      <c r="E242" s="11" t="s">
        <v>11</v>
      </c>
      <c r="F242" s="195">
        <f>SUM(Open[[#This Row],[PR 1]:[PR 3]])</f>
        <v>0</v>
      </c>
      <c r="G242" s="109">
        <f>LARGE(Open[[#This Row],[TS SH O 22.02.22]:[PR3]],1)</f>
        <v>0</v>
      </c>
      <c r="H242" s="109">
        <f>LARGE(Open[[#This Row],[TS SH O 22.02.22]:[PR3]],2)</f>
        <v>0</v>
      </c>
      <c r="I242" s="109">
        <f>LARGE(Open[[#This Row],[TS SH O 22.02.22]:[PR3]],3)</f>
        <v>0</v>
      </c>
      <c r="J242" s="196">
        <f>RANK(K242,$K$7:$K$361,0)</f>
        <v>205</v>
      </c>
      <c r="K242" s="109">
        <f>SUM(L242:W242)</f>
        <v>0</v>
      </c>
      <c r="L242" s="109"/>
      <c r="M242" s="109" t="str">
        <f>IFERROR(VLOOKUP(Open[[#This Row],[TS SH O 23.04.22 Rang]],$AJ$16:$AK$111,2,0)*M$5," ")</f>
        <v xml:space="preserve"> </v>
      </c>
      <c r="N242" s="109" t="str">
        <f>IFERROR(VLOOKUP(Open[[#This Row],[TS LA O 08.05.22 Rang]],$AJ$16:$AK$111,2,0)*N$5," ")</f>
        <v xml:space="preserve"> </v>
      </c>
      <c r="O242" s="109" t="str">
        <f>IFERROR(VLOOKUP(Open[[#This Row],[TS SG O 25.05.22 Rang]],$AJ$16:$AK$111,2,0)*O$5," ")</f>
        <v xml:space="preserve"> </v>
      </c>
      <c r="P242" s="109" t="str">
        <f>IFERROR(VLOOKUP(Open[[#This Row],[TS SH O 25.06.22 Rang]],$AJ$16:$AK$111,2,0)*P$5," ")</f>
        <v xml:space="preserve"> </v>
      </c>
      <c r="Q242" s="109" t="str">
        <f>IFERROR(VLOOKUP(Open[[#This Row],[TS ZH O/A 25.06.22 Rang]],$AJ$16:$AK$111,2,0)*Q$5," ")</f>
        <v xml:space="preserve"> </v>
      </c>
      <c r="R242" s="109" t="str">
        <f>IFERROR(VLOOKUP(Open[[#This Row],[TS ZH O/B 25.06.22 Rang]],$AJ$16:$AK$111,2,0)*R$5," ")</f>
        <v xml:space="preserve"> </v>
      </c>
      <c r="S242" s="109" t="str">
        <f>IFERROR(VLOOKUP(Open[[#This Row],[SM BE O/A 09.07.22 Rang]],$AJ$16:$AK$111,2,0)*S$5," ")</f>
        <v xml:space="preserve"> </v>
      </c>
      <c r="T242" s="109" t="str">
        <f>IFERROR(VLOOKUP(Open[[#This Row],[SM BE O/B 09.07.22 Rang]],$AJ$16:$AK$111,2,0)*T$5," ")</f>
        <v xml:space="preserve"> </v>
      </c>
      <c r="U242" s="11">
        <v>0</v>
      </c>
      <c r="V242" s="11">
        <v>0</v>
      </c>
      <c r="W242" s="11">
        <v>0</v>
      </c>
      <c r="X242" s="129"/>
      <c r="Y242" s="191"/>
      <c r="Z242" s="191"/>
      <c r="AA242" s="191"/>
      <c r="AB242" s="191"/>
      <c r="AC242" s="191"/>
      <c r="AD242" s="191"/>
      <c r="AE242" s="191"/>
      <c r="AF242" s="191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BB242" s="4"/>
      <c r="BC242" s="4"/>
      <c r="BD242" s="4"/>
      <c r="BE242" s="4"/>
      <c r="BF242" s="4"/>
      <c r="BG242" s="4"/>
      <c r="BH242" s="4"/>
      <c r="BI242" s="4"/>
    </row>
    <row r="243" spans="1:61" x14ac:dyDescent="0.2">
      <c r="A243" s="196">
        <v>173</v>
      </c>
      <c r="B243" s="196">
        <f>IF(Open[[#This Row],[PR Rang beim letzten Turnier]]&gt;Open[[#This Row],[PR Rang]],1,IF(Open[[#This Row],[PR Rang beim letzten Turnier]]=Open[[#This Row],[PR Rang]],0,-1))</f>
        <v>-1</v>
      </c>
      <c r="C243" s="224">
        <f>RANK(Open[[#This Row],[PR Punkte]],Open[PR Punkte],0)</f>
        <v>205</v>
      </c>
      <c r="D243" s="9" t="s">
        <v>28</v>
      </c>
      <c r="E243" s="9" t="s">
        <v>0</v>
      </c>
      <c r="F243" s="195">
        <f>SUM(Open[[#This Row],[PR 1]:[PR 3]])</f>
        <v>0</v>
      </c>
      <c r="G243" s="109">
        <f>LARGE(Open[[#This Row],[TS SH O 22.02.22]:[PR3]],1)</f>
        <v>0</v>
      </c>
      <c r="H243" s="109">
        <f>LARGE(Open[[#This Row],[TS SH O 22.02.22]:[PR3]],2)</f>
        <v>0</v>
      </c>
      <c r="I243" s="109">
        <f>LARGE(Open[[#This Row],[TS SH O 22.02.22]:[PR3]],3)</f>
        <v>0</v>
      </c>
      <c r="J243" s="196">
        <f>RANK(K243,$K$7:$K$361,0)</f>
        <v>205</v>
      </c>
      <c r="K243" s="109">
        <f>SUM(L243:W243)</f>
        <v>0</v>
      </c>
      <c r="L243" s="109"/>
      <c r="M243" s="109" t="str">
        <f>IFERROR(VLOOKUP(Open[[#This Row],[TS SH O 23.04.22 Rang]],$AJ$16:$AK$111,2,0)*M$5," ")</f>
        <v xml:space="preserve"> </v>
      </c>
      <c r="N243" s="109" t="str">
        <f>IFERROR(VLOOKUP(Open[[#This Row],[TS LA O 08.05.22 Rang]],$AJ$16:$AK$111,2,0)*N$5," ")</f>
        <v xml:space="preserve"> </v>
      </c>
      <c r="O243" s="109" t="str">
        <f>IFERROR(VLOOKUP(Open[[#This Row],[TS SG O 25.05.22 Rang]],$AJ$16:$AK$111,2,0)*O$5," ")</f>
        <v xml:space="preserve"> </v>
      </c>
      <c r="P243" s="109" t="str">
        <f>IFERROR(VLOOKUP(Open[[#This Row],[TS SH O 25.06.22 Rang]],$AJ$16:$AK$111,2,0)*P$5," ")</f>
        <v xml:space="preserve"> </v>
      </c>
      <c r="Q243" s="109" t="str">
        <f>IFERROR(VLOOKUP(Open[[#This Row],[TS ZH O/A 25.06.22 Rang]],$AJ$16:$AK$111,2,0)*Q$5," ")</f>
        <v xml:space="preserve"> </v>
      </c>
      <c r="R243" s="109" t="str">
        <f>IFERROR(VLOOKUP(Open[[#This Row],[TS ZH O/B 25.06.22 Rang]],$AJ$16:$AK$111,2,0)*R$5," ")</f>
        <v xml:space="preserve"> </v>
      </c>
      <c r="S243" s="109" t="str">
        <f>IFERROR(VLOOKUP(Open[[#This Row],[SM BE O/A 09.07.22 Rang]],$AJ$16:$AK$111,2,0)*S$5," ")</f>
        <v xml:space="preserve"> </v>
      </c>
      <c r="T243" s="109" t="str">
        <f>IFERROR(VLOOKUP(Open[[#This Row],[SM BE O/B 09.07.22 Rang]],$AJ$16:$AK$111,2,0)*T$5," ")</f>
        <v xml:space="preserve"> </v>
      </c>
      <c r="U243" s="11">
        <v>0</v>
      </c>
      <c r="V243" s="11">
        <v>0</v>
      </c>
      <c r="W243" s="11">
        <v>0</v>
      </c>
      <c r="X243" s="129"/>
      <c r="Y243" s="191"/>
      <c r="Z243" s="191"/>
      <c r="AA243" s="191"/>
      <c r="AB243" s="191"/>
      <c r="AC243" s="191"/>
      <c r="AD243" s="191"/>
      <c r="AE243" s="191"/>
      <c r="AF243" s="191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BB243" s="4"/>
      <c r="BC243" s="4"/>
      <c r="BD243" s="4"/>
      <c r="BE243" s="4"/>
      <c r="BF243" s="4"/>
      <c r="BG243" s="4"/>
      <c r="BH243" s="4"/>
      <c r="BI243" s="4"/>
    </row>
    <row r="244" spans="1:61" x14ac:dyDescent="0.2">
      <c r="A244" s="11">
        <v>173</v>
      </c>
      <c r="B244" s="11">
        <f>IF(Open[[#This Row],[PR Rang beim letzten Turnier]]&gt;Open[[#This Row],[PR Rang]],1,IF(Open[[#This Row],[PR Rang beim letzten Turnier]]=Open[[#This Row],[PR Rang]],0,-1))</f>
        <v>-1</v>
      </c>
      <c r="C244" s="147">
        <f>RANK(Open[[#This Row],[PR Punkte]],Open[PR Punkte],0)</f>
        <v>205</v>
      </c>
      <c r="D244" s="31" t="s">
        <v>88</v>
      </c>
      <c r="E244" s="9" t="s">
        <v>11</v>
      </c>
      <c r="F244" s="109">
        <f>SUM(Open[[#This Row],[PR 1]:[PR 3]])</f>
        <v>0</v>
      </c>
      <c r="G244" s="109">
        <f>LARGE(Open[[#This Row],[TS SH O 22.02.22]:[PR3]],1)</f>
        <v>0</v>
      </c>
      <c r="H244" s="109">
        <f>LARGE(Open[[#This Row],[TS SH O 22.02.22]:[PR3]],2)</f>
        <v>0</v>
      </c>
      <c r="I244" s="109">
        <f>LARGE(Open[[#This Row],[TS SH O 22.02.22]:[PR3]],3)</f>
        <v>0</v>
      </c>
      <c r="J244" s="9">
        <f>RANK(K244,$K$7:$K$295,0)</f>
        <v>205</v>
      </c>
      <c r="K244" s="109">
        <f>SUM(L244:W244)</f>
        <v>0</v>
      </c>
      <c r="L244" s="109" t="str">
        <f>IFERROR(VLOOKUP(Open[[#This Row],[TS SH 22.02.22 Rang]],$AJ$16:$AK$111,2,0)*L$5," ")</f>
        <v xml:space="preserve"> </v>
      </c>
      <c r="M244" s="109" t="str">
        <f>IFERROR(VLOOKUP(Open[[#This Row],[TS SH O 23.04.22 Rang]],$AJ$16:$AK$111,2,0)*M$5," ")</f>
        <v xml:space="preserve"> </v>
      </c>
      <c r="N244" s="109" t="str">
        <f>IFERROR(VLOOKUP(Open[[#This Row],[TS LA O 08.05.22 Rang]],$AJ$16:$AK$111,2,0)*N$5," ")</f>
        <v xml:space="preserve"> </v>
      </c>
      <c r="O244" s="109" t="str">
        <f>IFERROR(VLOOKUP(Open[[#This Row],[TS SG O 25.05.22 Rang]],$AJ$16:$AK$111,2,0)*O$5," ")</f>
        <v xml:space="preserve"> </v>
      </c>
      <c r="P244" s="109" t="str">
        <f>IFERROR(VLOOKUP(Open[[#This Row],[TS SH O 25.06.22 Rang]],$AJ$16:$AK$111,2,0)*P$5," ")</f>
        <v xml:space="preserve"> </v>
      </c>
      <c r="Q244" s="109" t="str">
        <f>IFERROR(VLOOKUP(Open[[#This Row],[TS ZH O/A 25.06.22 Rang]],$AJ$16:$AK$111,2,0)*Q$5," ")</f>
        <v xml:space="preserve"> </v>
      </c>
      <c r="R244" s="109" t="str">
        <f>IFERROR(VLOOKUP(Open[[#This Row],[TS ZH O/B 25.06.22 Rang]],$AJ$16:$AK$111,2,0)*R$5," ")</f>
        <v xml:space="preserve"> </v>
      </c>
      <c r="S244" s="109" t="str">
        <f>IFERROR(VLOOKUP(Open[[#This Row],[SM BE O/A 09.07.22 Rang]],$AJ$16:$AK$111,2,0)*S$5," ")</f>
        <v xml:space="preserve"> </v>
      </c>
      <c r="T244" s="109" t="str">
        <f>IFERROR(VLOOKUP(Open[[#This Row],[SM BE O/B 09.07.22 Rang]],$AJ$16:$AK$111,2,0)*T$5," ")</f>
        <v xml:space="preserve"> </v>
      </c>
      <c r="U244" s="11">
        <v>0</v>
      </c>
      <c r="V244" s="11">
        <v>0</v>
      </c>
      <c r="W244" s="11">
        <v>0</v>
      </c>
      <c r="X244" s="129"/>
      <c r="Y244" s="191"/>
      <c r="Z244" s="191"/>
      <c r="AA244" s="191"/>
      <c r="AB244" s="191"/>
      <c r="AC244" s="191"/>
      <c r="AD244" s="191"/>
      <c r="AE244" s="191"/>
      <c r="AF244" s="191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BB244" s="4"/>
      <c r="BC244" s="4"/>
      <c r="BD244" s="4"/>
      <c r="BE244" s="4"/>
      <c r="BF244" s="4"/>
      <c r="BG244" s="4"/>
      <c r="BH244" s="4"/>
      <c r="BI244" s="4"/>
    </row>
    <row r="245" spans="1:61" x14ac:dyDescent="0.2">
      <c r="A245" s="11">
        <v>173</v>
      </c>
      <c r="B245" s="11">
        <f>IF(Open[[#This Row],[PR Rang beim letzten Turnier]]&gt;Open[[#This Row],[PR Rang]],1,IF(Open[[#This Row],[PR Rang beim letzten Turnier]]=Open[[#This Row],[PR Rang]],0,-1))</f>
        <v>-1</v>
      </c>
      <c r="C245" s="147">
        <f>RANK(Open[[#This Row],[PR Punkte]],Open[PR Punkte],0)</f>
        <v>205</v>
      </c>
      <c r="D245" s="31" t="s">
        <v>82</v>
      </c>
      <c r="E245" s="9" t="s">
        <v>8</v>
      </c>
      <c r="F245" s="109">
        <f>SUM(Open[[#This Row],[PR 1]:[PR 3]])</f>
        <v>0</v>
      </c>
      <c r="G245" s="109">
        <f>LARGE(Open[[#This Row],[TS SH O 22.02.22]:[PR3]],1)</f>
        <v>0</v>
      </c>
      <c r="H245" s="109">
        <f>LARGE(Open[[#This Row],[TS SH O 22.02.22]:[PR3]],2)</f>
        <v>0</v>
      </c>
      <c r="I245" s="109">
        <f>LARGE(Open[[#This Row],[TS SH O 22.02.22]:[PR3]],3)</f>
        <v>0</v>
      </c>
      <c r="J245" s="9">
        <f>RANK(K245,$K$7:$K$295,0)</f>
        <v>205</v>
      </c>
      <c r="K245" s="109">
        <f>SUM(L245:W245)</f>
        <v>0</v>
      </c>
      <c r="L245" s="109" t="str">
        <f>IFERROR(VLOOKUP(Open[[#This Row],[TS SH 22.02.22 Rang]],$AJ$16:$AK$111,2,0)*L$5," ")</f>
        <v xml:space="preserve"> </v>
      </c>
      <c r="M245" s="109" t="str">
        <f>IFERROR(VLOOKUP(Open[[#This Row],[TS SH O 23.04.22 Rang]],$AJ$16:$AK$111,2,0)*M$5," ")</f>
        <v xml:space="preserve"> </v>
      </c>
      <c r="N245" s="109" t="str">
        <f>IFERROR(VLOOKUP(Open[[#This Row],[TS LA O 08.05.22 Rang]],$AJ$16:$AK$111,2,0)*N$5," ")</f>
        <v xml:space="preserve"> </v>
      </c>
      <c r="O245" s="109" t="str">
        <f>IFERROR(VLOOKUP(Open[[#This Row],[TS SG O 25.05.22 Rang]],$AJ$16:$AK$111,2,0)*O$5," ")</f>
        <v xml:space="preserve"> </v>
      </c>
      <c r="P245" s="109" t="str">
        <f>IFERROR(VLOOKUP(Open[[#This Row],[TS SH O 25.06.22 Rang]],$AJ$16:$AK$111,2,0)*P$5," ")</f>
        <v xml:space="preserve"> </v>
      </c>
      <c r="Q245" s="109" t="str">
        <f>IFERROR(VLOOKUP(Open[[#This Row],[TS ZH O/A 25.06.22 Rang]],$AJ$16:$AK$111,2,0)*Q$5," ")</f>
        <v xml:space="preserve"> </v>
      </c>
      <c r="R245" s="109" t="str">
        <f>IFERROR(VLOOKUP(Open[[#This Row],[TS ZH O/B 25.06.22 Rang]],$AJ$16:$AK$111,2,0)*R$5," ")</f>
        <v xml:space="preserve"> </v>
      </c>
      <c r="S245" s="109" t="str">
        <f>IFERROR(VLOOKUP(Open[[#This Row],[SM BE O/A 09.07.22 Rang]],$AJ$16:$AK$111,2,0)*S$5," ")</f>
        <v xml:space="preserve"> </v>
      </c>
      <c r="T245" s="109" t="str">
        <f>IFERROR(VLOOKUP(Open[[#This Row],[SM BE O/B 09.07.22 Rang]],$AJ$16:$AK$111,2,0)*T$5," ")</f>
        <v xml:space="preserve"> </v>
      </c>
      <c r="U245" s="11">
        <v>0</v>
      </c>
      <c r="V245" s="11">
        <v>0</v>
      </c>
      <c r="W245" s="11">
        <v>0</v>
      </c>
      <c r="X245" s="129"/>
      <c r="Y245" s="191"/>
      <c r="Z245" s="191"/>
      <c r="AA245" s="191"/>
      <c r="AB245" s="191"/>
      <c r="AC245" s="191"/>
      <c r="AD245" s="191"/>
      <c r="AE245" s="191"/>
      <c r="AF245" s="191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BB245" s="4"/>
      <c r="BC245" s="4"/>
      <c r="BD245" s="4"/>
      <c r="BE245" s="4"/>
      <c r="BF245" s="4"/>
      <c r="BG245" s="4"/>
      <c r="BH245" s="4"/>
      <c r="BI245" s="4"/>
    </row>
    <row r="246" spans="1:61" x14ac:dyDescent="0.2">
      <c r="A246" s="11">
        <v>173</v>
      </c>
      <c r="B246" s="11">
        <f>IF(Open[[#This Row],[PR Rang beim letzten Turnier]]&gt;Open[[#This Row],[PR Rang]],1,IF(Open[[#This Row],[PR Rang beim letzten Turnier]]=Open[[#This Row],[PR Rang]],0,-1))</f>
        <v>-1</v>
      </c>
      <c r="C246" s="147">
        <f>RANK(Open[[#This Row],[PR Punkte]],Open[PR Punkte],0)</f>
        <v>205</v>
      </c>
      <c r="D246" s="31" t="s">
        <v>61</v>
      </c>
      <c r="E246" s="11" t="s">
        <v>17</v>
      </c>
      <c r="F246" s="109">
        <f>SUM(Open[[#This Row],[PR 1]:[PR 3]])</f>
        <v>0</v>
      </c>
      <c r="G246" s="109">
        <f>LARGE(Open[[#This Row],[TS SH O 22.02.22]:[PR3]],1)</f>
        <v>0</v>
      </c>
      <c r="H246" s="109">
        <f>LARGE(Open[[#This Row],[TS SH O 22.02.22]:[PR3]],2)</f>
        <v>0</v>
      </c>
      <c r="I246" s="109">
        <f>LARGE(Open[[#This Row],[TS SH O 22.02.22]:[PR3]],3)</f>
        <v>0</v>
      </c>
      <c r="J246" s="11">
        <f>RANK(K246,$K$7:$K$295,0)</f>
        <v>205</v>
      </c>
      <c r="K246" s="109">
        <f>SUM(L246:W246)</f>
        <v>0</v>
      </c>
      <c r="L246" s="109" t="str">
        <f>IFERROR(VLOOKUP(Open[[#This Row],[TS SH 22.02.22 Rang]],$AJ$16:$AK$111,2,0)*L$5," ")</f>
        <v xml:space="preserve"> </v>
      </c>
      <c r="M246" s="109" t="str">
        <f>IFERROR(VLOOKUP(Open[[#This Row],[TS SH O 23.04.22 Rang]],$AJ$16:$AK$111,2,0)*M$5," ")</f>
        <v xml:space="preserve"> </v>
      </c>
      <c r="N246" s="109" t="str">
        <f>IFERROR(VLOOKUP(Open[[#This Row],[TS LA O 08.05.22 Rang]],$AJ$16:$AK$111,2,0)*N$5," ")</f>
        <v xml:space="preserve"> </v>
      </c>
      <c r="O246" s="109" t="str">
        <f>IFERROR(VLOOKUP(Open[[#This Row],[TS SG O 25.05.22 Rang]],$AJ$16:$AK$111,2,0)*O$5," ")</f>
        <v xml:space="preserve"> </v>
      </c>
      <c r="P246" s="109" t="str">
        <f>IFERROR(VLOOKUP(Open[[#This Row],[TS SH O 25.06.22 Rang]],$AJ$16:$AK$111,2,0)*P$5," ")</f>
        <v xml:space="preserve"> </v>
      </c>
      <c r="Q246" s="109" t="str">
        <f>IFERROR(VLOOKUP(Open[[#This Row],[TS ZH O/A 25.06.22 Rang]],$AJ$16:$AK$111,2,0)*Q$5," ")</f>
        <v xml:space="preserve"> </v>
      </c>
      <c r="R246" s="109" t="str">
        <f>IFERROR(VLOOKUP(Open[[#This Row],[TS ZH O/B 25.06.22 Rang]],$AJ$16:$AK$111,2,0)*R$5," ")</f>
        <v xml:space="preserve"> </v>
      </c>
      <c r="S246" s="109" t="str">
        <f>IFERROR(VLOOKUP(Open[[#This Row],[SM BE O/A 09.07.22 Rang]],$AJ$16:$AK$111,2,0)*S$5," ")</f>
        <v xml:space="preserve"> </v>
      </c>
      <c r="T246" s="109" t="str">
        <f>IFERROR(VLOOKUP(Open[[#This Row],[SM BE O/B 09.07.22 Rang]],$AJ$16:$AK$111,2,0)*T$5," ")</f>
        <v xml:space="preserve"> </v>
      </c>
      <c r="U246" s="11">
        <v>0</v>
      </c>
      <c r="V246" s="11">
        <v>0</v>
      </c>
      <c r="W246" s="11">
        <v>0</v>
      </c>
      <c r="X246" s="129"/>
      <c r="Y246" s="191"/>
      <c r="Z246" s="191"/>
      <c r="AA246" s="191"/>
      <c r="AB246" s="191"/>
      <c r="AC246" s="191"/>
      <c r="AD246" s="191"/>
      <c r="AE246" s="191"/>
      <c r="AF246" s="191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BB246" s="4"/>
      <c r="BC246" s="4"/>
      <c r="BD246" s="4"/>
      <c r="BE246" s="4"/>
      <c r="BF246" s="4"/>
      <c r="BG246" s="4"/>
      <c r="BH246" s="4"/>
      <c r="BI246" s="4"/>
    </row>
    <row r="247" spans="1:61" x14ac:dyDescent="0.2">
      <c r="A247" s="11">
        <v>173</v>
      </c>
      <c r="B247" s="11">
        <f>IF(Open[[#This Row],[PR Rang beim letzten Turnier]]&gt;Open[[#This Row],[PR Rang]],1,IF(Open[[#This Row],[PR Rang beim letzten Turnier]]=Open[[#This Row],[PR Rang]],0,-1))</f>
        <v>-1</v>
      </c>
      <c r="C247" s="147">
        <f>RANK(Open[[#This Row],[PR Punkte]],Open[PR Punkte],0)</f>
        <v>205</v>
      </c>
      <c r="D247" s="9" t="s">
        <v>187</v>
      </c>
      <c r="E247" s="9" t="s">
        <v>14</v>
      </c>
      <c r="F247" s="109">
        <f>SUM(Open[[#This Row],[PR 1]:[PR 3]])</f>
        <v>0</v>
      </c>
      <c r="G247" s="109">
        <f>LARGE(Open[[#This Row],[TS SH O 22.02.22]:[PR3]],1)</f>
        <v>0</v>
      </c>
      <c r="H247" s="109">
        <f>LARGE(Open[[#This Row],[TS SH O 22.02.22]:[PR3]],2)</f>
        <v>0</v>
      </c>
      <c r="I247" s="109">
        <f>LARGE(Open[[#This Row],[TS SH O 22.02.22]:[PR3]],3)</f>
        <v>0</v>
      </c>
      <c r="J247" s="9">
        <f>RANK(K247,$K$7:$K$295,0)</f>
        <v>205</v>
      </c>
      <c r="K247" s="109">
        <f>SUM(L247:W247)</f>
        <v>0</v>
      </c>
      <c r="L247" s="109" t="str">
        <f>IFERROR(VLOOKUP(Open[[#This Row],[TS SH 22.02.22 Rang]],$AJ$16:$AK$111,2,0)*L$5," ")</f>
        <v xml:space="preserve"> </v>
      </c>
      <c r="M247" s="109" t="str">
        <f>IFERROR(VLOOKUP(Open[[#This Row],[TS SH O 23.04.22 Rang]],$AJ$16:$AK$111,2,0)*M$5," ")</f>
        <v xml:space="preserve"> </v>
      </c>
      <c r="N247" s="109" t="str">
        <f>IFERROR(VLOOKUP(Open[[#This Row],[TS LA O 08.05.22 Rang]],$AJ$16:$AK$111,2,0)*N$5," ")</f>
        <v xml:space="preserve"> </v>
      </c>
      <c r="O247" s="109" t="str">
        <f>IFERROR(VLOOKUP(Open[[#This Row],[TS SG O 25.05.22 Rang]],$AJ$16:$AK$111,2,0)*O$5," ")</f>
        <v xml:space="preserve"> </v>
      </c>
      <c r="P247" s="109" t="str">
        <f>IFERROR(VLOOKUP(Open[[#This Row],[TS SH O 25.06.22 Rang]],$AJ$16:$AK$111,2,0)*P$5," ")</f>
        <v xml:space="preserve"> </v>
      </c>
      <c r="Q247" s="109" t="str">
        <f>IFERROR(VLOOKUP(Open[[#This Row],[TS ZH O/A 25.06.22 Rang]],$AJ$16:$AK$111,2,0)*Q$5," ")</f>
        <v xml:space="preserve"> </v>
      </c>
      <c r="R247" s="109" t="str">
        <f>IFERROR(VLOOKUP(Open[[#This Row],[TS ZH O/B 25.06.22 Rang]],$AJ$16:$AK$111,2,0)*R$5," ")</f>
        <v xml:space="preserve"> </v>
      </c>
      <c r="S247" s="109" t="str">
        <f>IFERROR(VLOOKUP(Open[[#This Row],[SM BE O/A 09.07.22 Rang]],$AJ$16:$AK$111,2,0)*S$5," ")</f>
        <v xml:space="preserve"> </v>
      </c>
      <c r="T247" s="109" t="str">
        <f>IFERROR(VLOOKUP(Open[[#This Row],[SM BE O/B 09.07.22 Rang]],$AJ$16:$AK$111,2,0)*T$5," ")</f>
        <v xml:space="preserve"> </v>
      </c>
      <c r="U247" s="11">
        <v>0</v>
      </c>
      <c r="V247" s="11">
        <v>0</v>
      </c>
      <c r="W247" s="11">
        <v>0</v>
      </c>
      <c r="X247" s="129"/>
      <c r="Y247" s="191"/>
      <c r="Z247" s="191"/>
      <c r="AA247" s="191"/>
      <c r="AB247" s="191"/>
      <c r="AC247" s="191"/>
      <c r="AD247" s="191"/>
      <c r="AE247" s="191"/>
      <c r="AF247" s="191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BB247" s="4"/>
      <c r="BC247" s="4"/>
      <c r="BD247" s="4"/>
      <c r="BE247" s="4"/>
      <c r="BF247" s="4"/>
      <c r="BG247" s="4"/>
      <c r="BH247" s="4"/>
      <c r="BI247" s="4"/>
    </row>
    <row r="248" spans="1:61" x14ac:dyDescent="0.2">
      <c r="A248" s="11">
        <v>173</v>
      </c>
      <c r="B248" s="11">
        <f>IF(Open[[#This Row],[PR Rang beim letzten Turnier]]&gt;Open[[#This Row],[PR Rang]],1,IF(Open[[#This Row],[PR Rang beim letzten Turnier]]=Open[[#This Row],[PR Rang]],0,-1))</f>
        <v>-1</v>
      </c>
      <c r="C248" s="147">
        <f>RANK(Open[[#This Row],[PR Punkte]],Open[PR Punkte],0)</f>
        <v>205</v>
      </c>
      <c r="D248" s="9" t="s">
        <v>186</v>
      </c>
      <c r="E248" s="9" t="s">
        <v>14</v>
      </c>
      <c r="F248" s="109">
        <f>SUM(Open[[#This Row],[PR 1]:[PR 3]])</f>
        <v>0</v>
      </c>
      <c r="G248" s="109">
        <f>LARGE(Open[[#This Row],[TS SH O 22.02.22]:[PR3]],1)</f>
        <v>0</v>
      </c>
      <c r="H248" s="109">
        <f>LARGE(Open[[#This Row],[TS SH O 22.02.22]:[PR3]],2)</f>
        <v>0</v>
      </c>
      <c r="I248" s="109">
        <f>LARGE(Open[[#This Row],[TS SH O 22.02.22]:[PR3]],3)</f>
        <v>0</v>
      </c>
      <c r="J248" s="9">
        <f>RANK(K248,$K$7:$K$295,0)</f>
        <v>205</v>
      </c>
      <c r="K248" s="109">
        <f>SUM(L248:W248)</f>
        <v>0</v>
      </c>
      <c r="L248" s="109" t="str">
        <f>IFERROR(VLOOKUP(Open[[#This Row],[TS SH 22.02.22 Rang]],$AJ$16:$AK$111,2,0)*L$5," ")</f>
        <v xml:space="preserve"> </v>
      </c>
      <c r="M248" s="109" t="str">
        <f>IFERROR(VLOOKUP(Open[[#This Row],[TS SH O 23.04.22 Rang]],$AJ$16:$AK$111,2,0)*M$5," ")</f>
        <v xml:space="preserve"> </v>
      </c>
      <c r="N248" s="109" t="str">
        <f>IFERROR(VLOOKUP(Open[[#This Row],[TS LA O 08.05.22 Rang]],$AJ$16:$AK$111,2,0)*N$5," ")</f>
        <v xml:space="preserve"> </v>
      </c>
      <c r="O248" s="109" t="str">
        <f>IFERROR(VLOOKUP(Open[[#This Row],[TS SG O 25.05.22 Rang]],$AJ$16:$AK$111,2,0)*O$5," ")</f>
        <v xml:space="preserve"> </v>
      </c>
      <c r="P248" s="109" t="str">
        <f>IFERROR(VLOOKUP(Open[[#This Row],[TS SH O 25.06.22 Rang]],$AJ$16:$AK$111,2,0)*P$5," ")</f>
        <v xml:space="preserve"> </v>
      </c>
      <c r="Q248" s="109" t="str">
        <f>IFERROR(VLOOKUP(Open[[#This Row],[TS ZH O/A 25.06.22 Rang]],$AJ$16:$AK$111,2,0)*Q$5," ")</f>
        <v xml:space="preserve"> </v>
      </c>
      <c r="R248" s="109" t="str">
        <f>IFERROR(VLOOKUP(Open[[#This Row],[TS ZH O/B 25.06.22 Rang]],$AJ$16:$AK$111,2,0)*R$5," ")</f>
        <v xml:space="preserve"> </v>
      </c>
      <c r="S248" s="109" t="str">
        <f>IFERROR(VLOOKUP(Open[[#This Row],[SM BE O/A 09.07.22 Rang]],$AJ$16:$AK$111,2,0)*S$5," ")</f>
        <v xml:space="preserve"> </v>
      </c>
      <c r="T248" s="109" t="str">
        <f>IFERROR(VLOOKUP(Open[[#This Row],[SM BE O/B 09.07.22 Rang]],$AJ$16:$AK$111,2,0)*T$5," ")</f>
        <v xml:space="preserve"> </v>
      </c>
      <c r="U248" s="11">
        <v>0</v>
      </c>
      <c r="V248" s="11">
        <v>0</v>
      </c>
      <c r="W248" s="11">
        <v>0</v>
      </c>
      <c r="X248" s="129"/>
      <c r="Y248" s="191"/>
      <c r="Z248" s="191"/>
      <c r="AA248" s="191"/>
      <c r="AB248" s="191"/>
      <c r="AC248" s="191"/>
      <c r="AD248" s="191"/>
      <c r="AE248" s="191"/>
      <c r="AF248" s="191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BB248" s="4"/>
      <c r="BC248" s="4"/>
      <c r="BD248" s="4"/>
      <c r="BE248" s="4"/>
      <c r="BF248" s="4"/>
      <c r="BG248" s="4"/>
      <c r="BH248" s="4"/>
      <c r="BI248" s="4"/>
    </row>
    <row r="249" spans="1:61" x14ac:dyDescent="0.2">
      <c r="A249" s="11">
        <v>173</v>
      </c>
      <c r="B249" s="11">
        <f>IF(Open[[#This Row],[PR Rang beim letzten Turnier]]&gt;Open[[#This Row],[PR Rang]],1,IF(Open[[#This Row],[PR Rang beim letzten Turnier]]=Open[[#This Row],[PR Rang]],0,-1))</f>
        <v>-1</v>
      </c>
      <c r="C249" s="147">
        <f>RANK(Open[[#This Row],[PR Punkte]],Open[PR Punkte],0)</f>
        <v>205</v>
      </c>
      <c r="D249" s="25" t="s">
        <v>250</v>
      </c>
      <c r="E249" s="11" t="s">
        <v>0</v>
      </c>
      <c r="F249" s="109">
        <f>SUM(Open[[#This Row],[PR 1]:[PR 3]])</f>
        <v>0</v>
      </c>
      <c r="G249" s="109">
        <f>LARGE(Open[[#This Row],[TS SH O 22.02.22]:[PR3]],1)</f>
        <v>0</v>
      </c>
      <c r="H249" s="109">
        <f>LARGE(Open[[#This Row],[TS SH O 22.02.22]:[PR3]],2)</f>
        <v>0</v>
      </c>
      <c r="I249" s="109">
        <f>LARGE(Open[[#This Row],[TS SH O 22.02.22]:[PR3]],3)</f>
        <v>0</v>
      </c>
      <c r="J249" s="11">
        <f>RANK(K249,$K$7:$K$295,0)</f>
        <v>205</v>
      </c>
      <c r="K249" s="109">
        <f>SUM(L249:W249)</f>
        <v>0</v>
      </c>
      <c r="L249" s="109" t="str">
        <f>IFERROR(VLOOKUP(Open[[#This Row],[TS SH 22.02.22 Rang]],$AJ$16:$AK$111,2,0)*L$5," ")</f>
        <v xml:space="preserve"> </v>
      </c>
      <c r="M249" s="109" t="str">
        <f>IFERROR(VLOOKUP(Open[[#This Row],[TS SH O 23.04.22 Rang]],$AJ$16:$AK$111,2,0)*M$5," ")</f>
        <v xml:space="preserve"> </v>
      </c>
      <c r="N249" s="109" t="str">
        <f>IFERROR(VLOOKUP(Open[[#This Row],[TS LA O 08.05.22 Rang]],$AJ$16:$AK$111,2,0)*N$5," ")</f>
        <v xml:space="preserve"> </v>
      </c>
      <c r="O249" s="109" t="str">
        <f>IFERROR(VLOOKUP(Open[[#This Row],[TS SG O 25.05.22 Rang]],$AJ$16:$AK$111,2,0)*O$5," ")</f>
        <v xml:space="preserve"> </v>
      </c>
      <c r="P249" s="109" t="str">
        <f>IFERROR(VLOOKUP(Open[[#This Row],[TS SH O 25.06.22 Rang]],$AJ$16:$AK$111,2,0)*P$5," ")</f>
        <v xml:space="preserve"> </v>
      </c>
      <c r="Q249" s="109" t="str">
        <f>IFERROR(VLOOKUP(Open[[#This Row],[TS ZH O/A 25.06.22 Rang]],$AJ$16:$AK$111,2,0)*Q$5," ")</f>
        <v xml:space="preserve"> </v>
      </c>
      <c r="R249" s="109" t="str">
        <f>IFERROR(VLOOKUP(Open[[#This Row],[TS ZH O/B 25.06.22 Rang]],$AJ$16:$AK$111,2,0)*R$5," ")</f>
        <v xml:space="preserve"> </v>
      </c>
      <c r="S249" s="109" t="str">
        <f>IFERROR(VLOOKUP(Open[[#This Row],[SM BE O/A 09.07.22 Rang]],$AJ$16:$AK$111,2,0)*S$5," ")</f>
        <v xml:space="preserve"> </v>
      </c>
      <c r="T249" s="109" t="str">
        <f>IFERROR(VLOOKUP(Open[[#This Row],[SM BE O/B 09.07.22 Rang]],$AJ$16:$AK$111,2,0)*T$5," ")</f>
        <v xml:space="preserve"> </v>
      </c>
      <c r="U249" s="11">
        <v>0</v>
      </c>
      <c r="V249" s="11">
        <v>0</v>
      </c>
      <c r="W249" s="11">
        <v>0</v>
      </c>
      <c r="X249" s="129"/>
      <c r="Y249" s="191"/>
      <c r="Z249" s="191"/>
      <c r="AA249" s="191"/>
      <c r="AB249" s="191"/>
      <c r="AC249" s="191"/>
      <c r="AD249" s="191"/>
      <c r="AE249" s="191"/>
      <c r="AF249" s="191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BB249" s="4"/>
      <c r="BC249" s="4"/>
      <c r="BD249" s="4"/>
      <c r="BE249" s="4"/>
      <c r="BF249" s="4"/>
      <c r="BG249" s="4"/>
      <c r="BH249" s="4"/>
      <c r="BI249" s="4"/>
    </row>
    <row r="250" spans="1:61" x14ac:dyDescent="0.2">
      <c r="A250" s="11">
        <v>173</v>
      </c>
      <c r="B250" s="11">
        <f>IF(Open[[#This Row],[PR Rang beim letzten Turnier]]&gt;Open[[#This Row],[PR Rang]],1,IF(Open[[#This Row],[PR Rang beim letzten Turnier]]=Open[[#This Row],[PR Rang]],0,-1))</f>
        <v>-1</v>
      </c>
      <c r="C250" s="147">
        <f>RANK(Open[[#This Row],[PR Punkte]],Open[PR Punkte],0)</f>
        <v>205</v>
      </c>
      <c r="D250" s="9" t="s">
        <v>150</v>
      </c>
      <c r="E250" s="11" t="s">
        <v>17</v>
      </c>
      <c r="F250" s="109">
        <f>SUM(Open[[#This Row],[PR 1]:[PR 3]])</f>
        <v>0</v>
      </c>
      <c r="G250" s="109">
        <f>LARGE(Open[[#This Row],[TS SH O 22.02.22]:[PR3]],1)</f>
        <v>0</v>
      </c>
      <c r="H250" s="109">
        <f>LARGE(Open[[#This Row],[TS SH O 22.02.22]:[PR3]],2)</f>
        <v>0</v>
      </c>
      <c r="I250" s="109">
        <f>LARGE(Open[[#This Row],[TS SH O 22.02.22]:[PR3]],3)</f>
        <v>0</v>
      </c>
      <c r="J250" s="11">
        <f>RANK(K250,$K$7:$K$295,0)</f>
        <v>205</v>
      </c>
      <c r="K250" s="109">
        <f>SUM(L250:W250)</f>
        <v>0</v>
      </c>
      <c r="L250" s="109" t="str">
        <f>IFERROR(VLOOKUP(Open[[#This Row],[TS SH 22.02.22 Rang]],$AJ$16:$AK$111,2,0)*L$5," ")</f>
        <v xml:space="preserve"> </v>
      </c>
      <c r="M250" s="109" t="str">
        <f>IFERROR(VLOOKUP(Open[[#This Row],[TS SH O 23.04.22 Rang]],$AJ$16:$AK$111,2,0)*M$5," ")</f>
        <v xml:space="preserve"> </v>
      </c>
      <c r="N250" s="109" t="str">
        <f>IFERROR(VLOOKUP(Open[[#This Row],[TS LA O 08.05.22 Rang]],$AJ$16:$AK$111,2,0)*N$5," ")</f>
        <v xml:space="preserve"> </v>
      </c>
      <c r="O250" s="109" t="str">
        <f>IFERROR(VLOOKUP(Open[[#This Row],[TS SG O 25.05.22 Rang]],$AJ$16:$AK$111,2,0)*O$5," ")</f>
        <v xml:space="preserve"> </v>
      </c>
      <c r="P250" s="109" t="str">
        <f>IFERROR(VLOOKUP(Open[[#This Row],[TS SH O 25.06.22 Rang]],$AJ$16:$AK$111,2,0)*P$5," ")</f>
        <v xml:space="preserve"> </v>
      </c>
      <c r="Q250" s="109" t="str">
        <f>IFERROR(VLOOKUP(Open[[#This Row],[TS ZH O/A 25.06.22 Rang]],$AJ$16:$AK$111,2,0)*Q$5," ")</f>
        <v xml:space="preserve"> </v>
      </c>
      <c r="R250" s="109" t="str">
        <f>IFERROR(VLOOKUP(Open[[#This Row],[TS ZH O/B 25.06.22 Rang]],$AJ$16:$AK$111,2,0)*R$5," ")</f>
        <v xml:space="preserve"> </v>
      </c>
      <c r="S250" s="109" t="str">
        <f>IFERROR(VLOOKUP(Open[[#This Row],[SM BE O/A 09.07.22 Rang]],$AJ$16:$AK$111,2,0)*S$5," ")</f>
        <v xml:space="preserve"> </v>
      </c>
      <c r="T250" s="109" t="str">
        <f>IFERROR(VLOOKUP(Open[[#This Row],[SM BE O/B 09.07.22 Rang]],$AJ$16:$AK$111,2,0)*T$5," ")</f>
        <v xml:space="preserve"> </v>
      </c>
      <c r="U250" s="11">
        <v>0</v>
      </c>
      <c r="V250" s="11">
        <v>0</v>
      </c>
      <c r="W250" s="11">
        <v>0</v>
      </c>
      <c r="X250" s="129"/>
      <c r="Y250" s="191"/>
      <c r="Z250" s="191"/>
      <c r="AA250" s="191"/>
      <c r="AB250" s="191"/>
      <c r="AC250" s="191"/>
      <c r="AD250" s="191"/>
      <c r="AE250" s="191"/>
      <c r="AF250" s="191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BB250" s="4"/>
      <c r="BC250" s="4"/>
      <c r="BD250" s="4"/>
      <c r="BE250" s="4"/>
      <c r="BF250" s="4"/>
      <c r="BG250" s="4"/>
      <c r="BH250" s="4"/>
      <c r="BI250" s="4"/>
    </row>
    <row r="251" spans="1:61" x14ac:dyDescent="0.2">
      <c r="A251" s="11">
        <v>173</v>
      </c>
      <c r="B251" s="11">
        <f>IF(Open[[#This Row],[PR Rang beim letzten Turnier]]&gt;Open[[#This Row],[PR Rang]],1,IF(Open[[#This Row],[PR Rang beim letzten Turnier]]=Open[[#This Row],[PR Rang]],0,-1))</f>
        <v>-1</v>
      </c>
      <c r="C251" s="147">
        <f>RANK(Open[[#This Row],[PR Punkte]],Open[PR Punkte],0)</f>
        <v>205</v>
      </c>
      <c r="D251" s="9" t="s">
        <v>179</v>
      </c>
      <c r="E251" s="9" t="s">
        <v>11</v>
      </c>
      <c r="F251" s="109">
        <f>SUM(Open[[#This Row],[PR 1]:[PR 3]])</f>
        <v>0</v>
      </c>
      <c r="G251" s="109">
        <f>LARGE(Open[[#This Row],[TS SH O 22.02.22]:[PR3]],1)</f>
        <v>0</v>
      </c>
      <c r="H251" s="109">
        <f>LARGE(Open[[#This Row],[TS SH O 22.02.22]:[PR3]],2)</f>
        <v>0</v>
      </c>
      <c r="I251" s="109">
        <f>LARGE(Open[[#This Row],[TS SH O 22.02.22]:[PR3]],3)</f>
        <v>0</v>
      </c>
      <c r="J251" s="9">
        <f>RANK(K251,$K$7:$K$295,0)</f>
        <v>205</v>
      </c>
      <c r="K251" s="109">
        <f>SUM(L251:W251)</f>
        <v>0</v>
      </c>
      <c r="L251" s="109" t="str">
        <f>IFERROR(VLOOKUP(Open[[#This Row],[TS SH 22.02.22 Rang]],$AJ$16:$AK$111,2,0)*L$5," ")</f>
        <v xml:space="preserve"> </v>
      </c>
      <c r="M251" s="109" t="str">
        <f>IFERROR(VLOOKUP(Open[[#This Row],[TS SH O 23.04.22 Rang]],$AJ$16:$AK$111,2,0)*M$5," ")</f>
        <v xml:space="preserve"> </v>
      </c>
      <c r="N251" s="109" t="str">
        <f>IFERROR(VLOOKUP(Open[[#This Row],[TS LA O 08.05.22 Rang]],$AJ$16:$AK$111,2,0)*N$5," ")</f>
        <v xml:space="preserve"> </v>
      </c>
      <c r="O251" s="109" t="str">
        <f>IFERROR(VLOOKUP(Open[[#This Row],[TS SG O 25.05.22 Rang]],$AJ$16:$AK$111,2,0)*O$5," ")</f>
        <v xml:space="preserve"> </v>
      </c>
      <c r="P251" s="109" t="str">
        <f>IFERROR(VLOOKUP(Open[[#This Row],[TS SH O 25.06.22 Rang]],$AJ$16:$AK$111,2,0)*P$5," ")</f>
        <v xml:space="preserve"> </v>
      </c>
      <c r="Q251" s="109" t="str">
        <f>IFERROR(VLOOKUP(Open[[#This Row],[TS ZH O/A 25.06.22 Rang]],$AJ$16:$AK$111,2,0)*Q$5," ")</f>
        <v xml:space="preserve"> </v>
      </c>
      <c r="R251" s="109" t="str">
        <f>IFERROR(VLOOKUP(Open[[#This Row],[TS ZH O/B 25.06.22 Rang]],$AJ$16:$AK$111,2,0)*R$5," ")</f>
        <v xml:space="preserve"> </v>
      </c>
      <c r="S251" s="109" t="str">
        <f>IFERROR(VLOOKUP(Open[[#This Row],[SM BE O/A 09.07.22 Rang]],$AJ$16:$AK$111,2,0)*S$5," ")</f>
        <v xml:space="preserve"> </v>
      </c>
      <c r="T251" s="109" t="str">
        <f>IFERROR(VLOOKUP(Open[[#This Row],[SM BE O/B 09.07.22 Rang]],$AJ$16:$AK$111,2,0)*T$5," ")</f>
        <v xml:space="preserve"> </v>
      </c>
      <c r="U251" s="11">
        <v>0</v>
      </c>
      <c r="V251" s="11">
        <v>0</v>
      </c>
      <c r="W251" s="11">
        <v>0</v>
      </c>
      <c r="X251" s="129"/>
      <c r="Y251" s="191"/>
      <c r="Z251" s="191"/>
      <c r="AA251" s="191"/>
      <c r="AB251" s="191"/>
      <c r="AC251" s="191"/>
      <c r="AD251" s="191"/>
      <c r="AE251" s="191"/>
      <c r="AF251" s="191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BB251" s="4"/>
      <c r="BC251" s="4"/>
      <c r="BD251" s="4"/>
      <c r="BE251" s="4"/>
      <c r="BF251" s="4"/>
      <c r="BG251" s="4"/>
      <c r="BH251" s="4"/>
      <c r="BI251" s="4"/>
    </row>
    <row r="252" spans="1:61" x14ac:dyDescent="0.2">
      <c r="A252" s="11">
        <v>173</v>
      </c>
      <c r="B252" s="11">
        <f>IF(Open[[#This Row],[PR Rang beim letzten Turnier]]&gt;Open[[#This Row],[PR Rang]],1,IF(Open[[#This Row],[PR Rang beim letzten Turnier]]=Open[[#This Row],[PR Rang]],0,-1))</f>
        <v>-1</v>
      </c>
      <c r="C252" s="147">
        <f>RANK(Open[[#This Row],[PR Punkte]],Open[PR Punkte],0)</f>
        <v>205</v>
      </c>
      <c r="D252" s="31" t="s">
        <v>67</v>
      </c>
      <c r="E252" s="9" t="s">
        <v>10</v>
      </c>
      <c r="F252" s="109">
        <f>SUM(Open[[#This Row],[PR 1]:[PR 3]])</f>
        <v>0</v>
      </c>
      <c r="G252" s="109">
        <f>LARGE(Open[[#This Row],[TS SH O 22.02.22]:[PR3]],1)</f>
        <v>0</v>
      </c>
      <c r="H252" s="109">
        <f>LARGE(Open[[#This Row],[TS SH O 22.02.22]:[PR3]],2)</f>
        <v>0</v>
      </c>
      <c r="I252" s="109">
        <f>LARGE(Open[[#This Row],[TS SH O 22.02.22]:[PR3]],3)</f>
        <v>0</v>
      </c>
      <c r="J252" s="9">
        <f>RANK(K252,$K$7:$K$295,0)</f>
        <v>205</v>
      </c>
      <c r="K252" s="109">
        <f>SUM(L252:W252)</f>
        <v>0</v>
      </c>
      <c r="L252" s="109" t="str">
        <f>IFERROR(VLOOKUP(Open[[#This Row],[TS SH 22.02.22 Rang]],$AJ$16:$AK$111,2,0)*L$5," ")</f>
        <v xml:space="preserve"> </v>
      </c>
      <c r="M252" s="109" t="str">
        <f>IFERROR(VLOOKUP(Open[[#This Row],[TS SH O 23.04.22 Rang]],$AJ$16:$AK$111,2,0)*M$5," ")</f>
        <v xml:space="preserve"> </v>
      </c>
      <c r="N252" s="109" t="str">
        <f>IFERROR(VLOOKUP(Open[[#This Row],[TS LA O 08.05.22 Rang]],$AJ$16:$AK$111,2,0)*N$5," ")</f>
        <v xml:space="preserve"> </v>
      </c>
      <c r="O252" s="109" t="str">
        <f>IFERROR(VLOOKUP(Open[[#This Row],[TS SG O 25.05.22 Rang]],$AJ$16:$AK$111,2,0)*O$5," ")</f>
        <v xml:space="preserve"> </v>
      </c>
      <c r="P252" s="109" t="str">
        <f>IFERROR(VLOOKUP(Open[[#This Row],[TS SH O 25.06.22 Rang]],$AJ$16:$AK$111,2,0)*P$5," ")</f>
        <v xml:space="preserve"> </v>
      </c>
      <c r="Q252" s="109" t="str">
        <f>IFERROR(VLOOKUP(Open[[#This Row],[TS ZH O/A 25.06.22 Rang]],$AJ$16:$AK$111,2,0)*Q$5," ")</f>
        <v xml:space="preserve"> </v>
      </c>
      <c r="R252" s="109" t="str">
        <f>IFERROR(VLOOKUP(Open[[#This Row],[TS ZH O/B 25.06.22 Rang]],$AJ$16:$AK$111,2,0)*R$5," ")</f>
        <v xml:space="preserve"> </v>
      </c>
      <c r="S252" s="109" t="str">
        <f>IFERROR(VLOOKUP(Open[[#This Row],[SM BE O/A 09.07.22 Rang]],$AJ$16:$AK$111,2,0)*S$5," ")</f>
        <v xml:space="preserve"> </v>
      </c>
      <c r="T252" s="109" t="str">
        <f>IFERROR(VLOOKUP(Open[[#This Row],[SM BE O/B 09.07.22 Rang]],$AJ$16:$AK$111,2,0)*T$5," ")</f>
        <v xml:space="preserve"> </v>
      </c>
      <c r="U252" s="11">
        <v>0</v>
      </c>
      <c r="V252" s="11">
        <v>0</v>
      </c>
      <c r="W252" s="11">
        <v>0</v>
      </c>
      <c r="X252" s="129"/>
      <c r="Y252" s="191"/>
      <c r="Z252" s="191"/>
      <c r="AA252" s="191"/>
      <c r="AB252" s="191"/>
      <c r="AC252" s="191"/>
      <c r="AD252" s="191"/>
      <c r="AE252" s="191"/>
      <c r="AF252" s="191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BB252" s="4"/>
      <c r="BC252" s="4"/>
      <c r="BD252" s="4"/>
      <c r="BE252" s="4"/>
      <c r="BF252" s="4"/>
      <c r="BG252" s="4"/>
      <c r="BH252" s="4"/>
      <c r="BI252" s="4"/>
    </row>
    <row r="253" spans="1:61" x14ac:dyDescent="0.2">
      <c r="A253" s="11">
        <v>173</v>
      </c>
      <c r="B253" s="11">
        <f>IF(Open[[#This Row],[PR Rang beim letzten Turnier]]&gt;Open[[#This Row],[PR Rang]],1,IF(Open[[#This Row],[PR Rang beim letzten Turnier]]=Open[[#This Row],[PR Rang]],0,-1))</f>
        <v>-1</v>
      </c>
      <c r="C253" s="147">
        <f>RANK(Open[[#This Row],[PR Punkte]],Open[PR Punkte],0)</f>
        <v>205</v>
      </c>
      <c r="D253" s="31" t="s">
        <v>95</v>
      </c>
      <c r="E253" s="11" t="s">
        <v>9</v>
      </c>
      <c r="F253" s="109">
        <f>SUM(Open[[#This Row],[PR 1]:[PR 3]])</f>
        <v>0</v>
      </c>
      <c r="G253" s="109">
        <f>LARGE(Open[[#This Row],[TS SH O 22.02.22]:[PR3]],1)</f>
        <v>0</v>
      </c>
      <c r="H253" s="109">
        <f>LARGE(Open[[#This Row],[TS SH O 22.02.22]:[PR3]],2)</f>
        <v>0</v>
      </c>
      <c r="I253" s="109">
        <f>LARGE(Open[[#This Row],[TS SH O 22.02.22]:[PR3]],3)</f>
        <v>0</v>
      </c>
      <c r="J253" s="11">
        <f>RANK(K253,$K$7:$K$295,0)</f>
        <v>205</v>
      </c>
      <c r="K253" s="109">
        <f>SUM(L253:W253)</f>
        <v>0</v>
      </c>
      <c r="L253" s="109" t="str">
        <f>IFERROR(VLOOKUP(Open[[#This Row],[TS SH 22.02.22 Rang]],$AJ$16:$AK$111,2,0)*L$5," ")</f>
        <v xml:space="preserve"> </v>
      </c>
      <c r="M253" s="109" t="str">
        <f>IFERROR(VLOOKUP(Open[[#This Row],[TS SH O 23.04.22 Rang]],$AJ$16:$AK$111,2,0)*M$5," ")</f>
        <v xml:space="preserve"> </v>
      </c>
      <c r="N253" s="109" t="str">
        <f>IFERROR(VLOOKUP(Open[[#This Row],[TS LA O 08.05.22 Rang]],$AJ$16:$AK$111,2,0)*N$5," ")</f>
        <v xml:space="preserve"> </v>
      </c>
      <c r="O253" s="109" t="str">
        <f>IFERROR(VLOOKUP(Open[[#This Row],[TS SG O 25.05.22 Rang]],$AJ$16:$AK$111,2,0)*O$5," ")</f>
        <v xml:space="preserve"> </v>
      </c>
      <c r="P253" s="109" t="str">
        <f>IFERROR(VLOOKUP(Open[[#This Row],[TS SH O 25.06.22 Rang]],$AJ$16:$AK$111,2,0)*P$5," ")</f>
        <v xml:space="preserve"> </v>
      </c>
      <c r="Q253" s="109" t="str">
        <f>IFERROR(VLOOKUP(Open[[#This Row],[TS ZH O/A 25.06.22 Rang]],$AJ$16:$AK$111,2,0)*Q$5," ")</f>
        <v xml:space="preserve"> </v>
      </c>
      <c r="R253" s="109" t="str">
        <f>IFERROR(VLOOKUP(Open[[#This Row],[TS ZH O/B 25.06.22 Rang]],$AJ$16:$AK$111,2,0)*R$5," ")</f>
        <v xml:space="preserve"> </v>
      </c>
      <c r="S253" s="109" t="str">
        <f>IFERROR(VLOOKUP(Open[[#This Row],[SM BE O/A 09.07.22 Rang]],$AJ$16:$AK$111,2,0)*S$5," ")</f>
        <v xml:space="preserve"> </v>
      </c>
      <c r="T253" s="109" t="str">
        <f>IFERROR(VLOOKUP(Open[[#This Row],[SM BE O/B 09.07.22 Rang]],$AJ$16:$AK$111,2,0)*T$5," ")</f>
        <v xml:space="preserve"> </v>
      </c>
      <c r="U253" s="11">
        <v>0</v>
      </c>
      <c r="V253" s="11">
        <v>0</v>
      </c>
      <c r="W253" s="11">
        <v>0</v>
      </c>
      <c r="X253" s="129"/>
      <c r="Y253" s="191"/>
      <c r="Z253" s="191"/>
      <c r="AA253" s="191"/>
      <c r="AB253" s="191"/>
      <c r="AC253" s="191"/>
      <c r="AD253" s="191"/>
      <c r="AE253" s="191"/>
      <c r="AF253" s="191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BB253" s="4"/>
      <c r="BC253" s="4"/>
      <c r="BD253" s="4"/>
      <c r="BE253" s="4"/>
      <c r="BF253" s="4"/>
      <c r="BG253" s="4"/>
      <c r="BH253" s="4"/>
      <c r="BI253" s="4"/>
    </row>
    <row r="254" spans="1:61" x14ac:dyDescent="0.2">
      <c r="A254" s="11">
        <v>173</v>
      </c>
      <c r="B254" s="11">
        <f>IF(Open[[#This Row],[PR Rang beim letzten Turnier]]&gt;Open[[#This Row],[PR Rang]],1,IF(Open[[#This Row],[PR Rang beim letzten Turnier]]=Open[[#This Row],[PR Rang]],0,-1))</f>
        <v>-1</v>
      </c>
      <c r="C254" s="147">
        <f>RANK(Open[[#This Row],[PR Punkte]],Open[PR Punkte],0)</f>
        <v>205</v>
      </c>
      <c r="D254" s="31" t="s">
        <v>94</v>
      </c>
      <c r="E254" s="9" t="s">
        <v>9</v>
      </c>
      <c r="F254" s="109">
        <f>SUM(Open[[#This Row],[PR 1]:[PR 3]])</f>
        <v>0</v>
      </c>
      <c r="G254" s="109">
        <f>LARGE(Open[[#This Row],[TS SH O 22.02.22]:[PR3]],1)</f>
        <v>0</v>
      </c>
      <c r="H254" s="109">
        <f>LARGE(Open[[#This Row],[TS SH O 22.02.22]:[PR3]],2)</f>
        <v>0</v>
      </c>
      <c r="I254" s="109">
        <f>LARGE(Open[[#This Row],[TS SH O 22.02.22]:[PR3]],3)</f>
        <v>0</v>
      </c>
      <c r="J254" s="9">
        <f>RANK(K254,$K$7:$K$295,0)</f>
        <v>205</v>
      </c>
      <c r="K254" s="109">
        <f>SUM(L254:W254)</f>
        <v>0</v>
      </c>
      <c r="L254" s="109" t="str">
        <f>IFERROR(VLOOKUP(Open[[#This Row],[TS SH 22.02.22 Rang]],$AJ$16:$AK$111,2,0)*L$5," ")</f>
        <v xml:space="preserve"> </v>
      </c>
      <c r="M254" s="109" t="str">
        <f>IFERROR(VLOOKUP(Open[[#This Row],[TS SH O 23.04.22 Rang]],$AJ$16:$AK$111,2,0)*M$5," ")</f>
        <v xml:space="preserve"> </v>
      </c>
      <c r="N254" s="109" t="str">
        <f>IFERROR(VLOOKUP(Open[[#This Row],[TS LA O 08.05.22 Rang]],$AJ$16:$AK$111,2,0)*N$5," ")</f>
        <v xml:space="preserve"> </v>
      </c>
      <c r="O254" s="109" t="str">
        <f>IFERROR(VLOOKUP(Open[[#This Row],[TS SG O 25.05.22 Rang]],$AJ$16:$AK$111,2,0)*O$5," ")</f>
        <v xml:space="preserve"> </v>
      </c>
      <c r="P254" s="109" t="str">
        <f>IFERROR(VLOOKUP(Open[[#This Row],[TS SH O 25.06.22 Rang]],$AJ$16:$AK$111,2,0)*P$5," ")</f>
        <v xml:space="preserve"> </v>
      </c>
      <c r="Q254" s="109" t="str">
        <f>IFERROR(VLOOKUP(Open[[#This Row],[TS ZH O/A 25.06.22 Rang]],$AJ$16:$AK$111,2,0)*Q$5," ")</f>
        <v xml:space="preserve"> </v>
      </c>
      <c r="R254" s="109" t="str">
        <f>IFERROR(VLOOKUP(Open[[#This Row],[TS ZH O/B 25.06.22 Rang]],$AJ$16:$AK$111,2,0)*R$5," ")</f>
        <v xml:space="preserve"> </v>
      </c>
      <c r="S254" s="109" t="str">
        <f>IFERROR(VLOOKUP(Open[[#This Row],[SM BE O/A 09.07.22 Rang]],$AJ$16:$AK$111,2,0)*S$5," ")</f>
        <v xml:space="preserve"> </v>
      </c>
      <c r="T254" s="109" t="str">
        <f>IFERROR(VLOOKUP(Open[[#This Row],[SM BE O/B 09.07.22 Rang]],$AJ$16:$AK$111,2,0)*T$5," ")</f>
        <v xml:space="preserve"> </v>
      </c>
      <c r="U254" s="11">
        <v>0</v>
      </c>
      <c r="V254" s="11">
        <v>0</v>
      </c>
      <c r="W254" s="11">
        <v>0</v>
      </c>
      <c r="X254" s="129"/>
      <c r="Y254" s="191"/>
      <c r="Z254" s="191"/>
      <c r="AA254" s="191"/>
      <c r="AB254" s="191"/>
      <c r="AC254" s="191"/>
      <c r="AD254" s="191"/>
      <c r="AE254" s="191"/>
      <c r="AF254" s="191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BB254" s="4"/>
      <c r="BC254" s="4"/>
      <c r="BD254" s="4"/>
      <c r="BE254" s="4"/>
      <c r="BF254" s="4"/>
      <c r="BG254" s="4"/>
      <c r="BH254" s="4"/>
      <c r="BI254" s="4"/>
    </row>
    <row r="255" spans="1:61" x14ac:dyDescent="0.2">
      <c r="A255" s="11">
        <v>173</v>
      </c>
      <c r="B255" s="11">
        <f>IF(Open[[#This Row],[PR Rang beim letzten Turnier]]&gt;Open[[#This Row],[PR Rang]],1,IF(Open[[#This Row],[PR Rang beim letzten Turnier]]=Open[[#This Row],[PR Rang]],0,-1))</f>
        <v>-1</v>
      </c>
      <c r="C255" s="147">
        <f>RANK(Open[[#This Row],[PR Punkte]],Open[PR Punkte],0)</f>
        <v>205</v>
      </c>
      <c r="D255" s="25" t="s">
        <v>234</v>
      </c>
      <c r="E255" s="31" t="s">
        <v>11</v>
      </c>
      <c r="F255" s="109">
        <f>SUM(Open[[#This Row],[PR 1]:[PR 3]])</f>
        <v>0</v>
      </c>
      <c r="G255" s="109">
        <f>LARGE(Open[[#This Row],[TS SH O 22.02.22]:[PR3]],1)</f>
        <v>0</v>
      </c>
      <c r="H255" s="109">
        <f>LARGE(Open[[#This Row],[TS SH O 22.02.22]:[PR3]],2)</f>
        <v>0</v>
      </c>
      <c r="I255" s="109">
        <f>LARGE(Open[[#This Row],[TS SH O 22.02.22]:[PR3]],3)</f>
        <v>0</v>
      </c>
      <c r="J255" s="31">
        <f>RANK(K255,$K$7:$K$295,0)</f>
        <v>205</v>
      </c>
      <c r="K255" s="109">
        <f>SUM(L255:W255)</f>
        <v>0</v>
      </c>
      <c r="L255" s="109" t="str">
        <f>IFERROR(VLOOKUP(Open[[#This Row],[TS SH 22.02.22 Rang]],$AJ$16:$AK$111,2,0)*L$5," ")</f>
        <v xml:space="preserve"> </v>
      </c>
      <c r="M255" s="109" t="str">
        <f>IFERROR(VLOOKUP(Open[[#This Row],[TS SH O 23.04.22 Rang]],$AJ$16:$AK$111,2,0)*M$5," ")</f>
        <v xml:space="preserve"> </v>
      </c>
      <c r="N255" s="109" t="str">
        <f>IFERROR(VLOOKUP(Open[[#This Row],[TS LA O 08.05.22 Rang]],$AJ$16:$AK$111,2,0)*N$5," ")</f>
        <v xml:space="preserve"> </v>
      </c>
      <c r="O255" s="109" t="str">
        <f>IFERROR(VLOOKUP(Open[[#This Row],[TS SG O 25.05.22 Rang]],$AJ$16:$AK$111,2,0)*O$5," ")</f>
        <v xml:space="preserve"> </v>
      </c>
      <c r="P255" s="109" t="str">
        <f>IFERROR(VLOOKUP(Open[[#This Row],[TS SH O 25.06.22 Rang]],$AJ$16:$AK$111,2,0)*P$5," ")</f>
        <v xml:space="preserve"> </v>
      </c>
      <c r="Q255" s="109" t="str">
        <f>IFERROR(VLOOKUP(Open[[#This Row],[TS ZH O/A 25.06.22 Rang]],$AJ$16:$AK$111,2,0)*Q$5," ")</f>
        <v xml:space="preserve"> </v>
      </c>
      <c r="R255" s="109" t="str">
        <f>IFERROR(VLOOKUP(Open[[#This Row],[TS ZH O/B 25.06.22 Rang]],$AJ$16:$AK$111,2,0)*R$5," ")</f>
        <v xml:space="preserve"> </v>
      </c>
      <c r="S255" s="109" t="str">
        <f>IFERROR(VLOOKUP(Open[[#This Row],[SM BE O/A 09.07.22 Rang]],$AJ$16:$AK$111,2,0)*S$5," ")</f>
        <v xml:space="preserve"> </v>
      </c>
      <c r="T255" s="109" t="str">
        <f>IFERROR(VLOOKUP(Open[[#This Row],[SM BE O/B 09.07.22 Rang]],$AJ$16:$AK$111,2,0)*T$5," ")</f>
        <v xml:space="preserve"> </v>
      </c>
      <c r="U255" s="11">
        <v>0</v>
      </c>
      <c r="V255" s="11">
        <v>0</v>
      </c>
      <c r="W255" s="11">
        <v>0</v>
      </c>
      <c r="X255" s="129"/>
      <c r="Y255" s="191"/>
      <c r="Z255" s="191"/>
      <c r="AA255" s="191"/>
      <c r="AB255" s="191"/>
      <c r="AC255" s="191"/>
      <c r="AD255" s="191"/>
      <c r="AE255" s="191"/>
      <c r="AF255" s="191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BB255" s="4"/>
      <c r="BC255" s="4"/>
      <c r="BD255" s="4"/>
      <c r="BE255" s="4"/>
      <c r="BF255" s="4"/>
      <c r="BG255" s="4"/>
      <c r="BH255" s="4"/>
      <c r="BI255" s="4"/>
    </row>
    <row r="256" spans="1:61" x14ac:dyDescent="0.2">
      <c r="A256" s="11">
        <v>173</v>
      </c>
      <c r="B256" s="11">
        <f>IF(Open[[#This Row],[PR Rang beim letzten Turnier]]&gt;Open[[#This Row],[PR Rang]],1,IF(Open[[#This Row],[PR Rang beim letzten Turnier]]=Open[[#This Row],[PR Rang]],0,-1))</f>
        <v>-1</v>
      </c>
      <c r="C256" s="147">
        <f>RANK(Open[[#This Row],[PR Punkte]],Open[PR Punkte],0)</f>
        <v>205</v>
      </c>
      <c r="D256" s="25" t="s">
        <v>236</v>
      </c>
      <c r="E256" s="31" t="s">
        <v>10</v>
      </c>
      <c r="F256" s="109">
        <f>SUM(Open[[#This Row],[PR 1]:[PR 3]])</f>
        <v>0</v>
      </c>
      <c r="G256" s="109">
        <f>LARGE(Open[[#This Row],[TS SH O 22.02.22]:[PR3]],1)</f>
        <v>0</v>
      </c>
      <c r="H256" s="109">
        <f>LARGE(Open[[#This Row],[TS SH O 22.02.22]:[PR3]],2)</f>
        <v>0</v>
      </c>
      <c r="I256" s="109">
        <f>LARGE(Open[[#This Row],[TS SH O 22.02.22]:[PR3]],3)</f>
        <v>0</v>
      </c>
      <c r="J256" s="31">
        <f>RANK(K256,$K$7:$K$295,0)</f>
        <v>205</v>
      </c>
      <c r="K256" s="109">
        <f>SUM(L256:W256)</f>
        <v>0</v>
      </c>
      <c r="L256" s="109" t="str">
        <f>IFERROR(VLOOKUP(Open[[#This Row],[TS SH 22.02.22 Rang]],$AJ$16:$AK$111,2,0)*L$5," ")</f>
        <v xml:space="preserve"> </v>
      </c>
      <c r="M256" s="109" t="str">
        <f>IFERROR(VLOOKUP(Open[[#This Row],[TS SH O 23.04.22 Rang]],$AJ$16:$AK$111,2,0)*M$5," ")</f>
        <v xml:space="preserve"> </v>
      </c>
      <c r="N256" s="109" t="str">
        <f>IFERROR(VLOOKUP(Open[[#This Row],[TS LA O 08.05.22 Rang]],$AJ$16:$AK$111,2,0)*N$5," ")</f>
        <v xml:space="preserve"> </v>
      </c>
      <c r="O256" s="109" t="str">
        <f>IFERROR(VLOOKUP(Open[[#This Row],[TS SG O 25.05.22 Rang]],$AJ$16:$AK$111,2,0)*O$5," ")</f>
        <v xml:space="preserve"> </v>
      </c>
      <c r="P256" s="109" t="str">
        <f>IFERROR(VLOOKUP(Open[[#This Row],[TS SH O 25.06.22 Rang]],$AJ$16:$AK$111,2,0)*P$5," ")</f>
        <v xml:space="preserve"> </v>
      </c>
      <c r="Q256" s="109" t="str">
        <f>IFERROR(VLOOKUP(Open[[#This Row],[TS ZH O/A 25.06.22 Rang]],$AJ$16:$AK$111,2,0)*Q$5," ")</f>
        <v xml:space="preserve"> </v>
      </c>
      <c r="R256" s="109" t="str">
        <f>IFERROR(VLOOKUP(Open[[#This Row],[TS ZH O/B 25.06.22 Rang]],$AJ$16:$AK$111,2,0)*R$5," ")</f>
        <v xml:space="preserve"> </v>
      </c>
      <c r="S256" s="109" t="str">
        <f>IFERROR(VLOOKUP(Open[[#This Row],[SM BE O/A 09.07.22 Rang]],$AJ$16:$AK$111,2,0)*S$5," ")</f>
        <v xml:space="preserve"> </v>
      </c>
      <c r="T256" s="109" t="str">
        <f>IFERROR(VLOOKUP(Open[[#This Row],[SM BE O/B 09.07.22 Rang]],$AJ$16:$AK$111,2,0)*T$5," ")</f>
        <v xml:space="preserve"> </v>
      </c>
      <c r="U256" s="11">
        <v>0</v>
      </c>
      <c r="V256" s="11">
        <v>0</v>
      </c>
      <c r="W256" s="11">
        <v>0</v>
      </c>
      <c r="X256" s="129"/>
      <c r="Y256" s="191"/>
      <c r="Z256" s="191"/>
      <c r="AA256" s="191"/>
      <c r="AB256" s="191"/>
      <c r="AC256" s="191"/>
      <c r="AD256" s="191"/>
      <c r="AE256" s="191"/>
      <c r="AF256" s="191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BB256" s="4"/>
      <c r="BC256" s="4"/>
      <c r="BD256" s="4"/>
      <c r="BE256" s="4"/>
      <c r="BF256" s="4"/>
      <c r="BG256" s="4"/>
      <c r="BH256" s="4"/>
      <c r="BI256" s="4"/>
    </row>
    <row r="257" spans="1:61" x14ac:dyDescent="0.2">
      <c r="A257" s="11">
        <v>173</v>
      </c>
      <c r="B257" s="11">
        <f>IF(Open[[#This Row],[PR Rang beim letzten Turnier]]&gt;Open[[#This Row],[PR Rang]],1,IF(Open[[#This Row],[PR Rang beim letzten Turnier]]=Open[[#This Row],[PR Rang]],0,-1))</f>
        <v>-1</v>
      </c>
      <c r="C257" s="147">
        <f>RANK(Open[[#This Row],[PR Punkte]],Open[PR Punkte],0)</f>
        <v>205</v>
      </c>
      <c r="D257" s="9" t="s">
        <v>171</v>
      </c>
      <c r="E257" s="9" t="s">
        <v>13</v>
      </c>
      <c r="F257" s="109">
        <f>SUM(Open[[#This Row],[PR 1]:[PR 3]])</f>
        <v>0</v>
      </c>
      <c r="G257" s="109">
        <f>LARGE(Open[[#This Row],[TS SH O 22.02.22]:[PR3]],1)</f>
        <v>0</v>
      </c>
      <c r="H257" s="109">
        <f>LARGE(Open[[#This Row],[TS SH O 22.02.22]:[PR3]],2)</f>
        <v>0</v>
      </c>
      <c r="I257" s="109">
        <f>LARGE(Open[[#This Row],[TS SH O 22.02.22]:[PR3]],3)</f>
        <v>0</v>
      </c>
      <c r="J257" s="9">
        <f>RANK(K257,$K$7:$K$295,0)</f>
        <v>205</v>
      </c>
      <c r="K257" s="109">
        <f>SUM(L257:W257)</f>
        <v>0</v>
      </c>
      <c r="L257" s="109" t="str">
        <f>IFERROR(VLOOKUP(Open[[#This Row],[TS SH 22.02.22 Rang]],$AJ$16:$AK$111,2,0)*L$5," ")</f>
        <v xml:space="preserve"> </v>
      </c>
      <c r="M257" s="109" t="str">
        <f>IFERROR(VLOOKUP(Open[[#This Row],[TS SH O 23.04.22 Rang]],$AJ$16:$AK$111,2,0)*M$5," ")</f>
        <v xml:space="preserve"> </v>
      </c>
      <c r="N257" s="109" t="str">
        <f>IFERROR(VLOOKUP(Open[[#This Row],[TS LA O 08.05.22 Rang]],$AJ$16:$AK$111,2,0)*N$5," ")</f>
        <v xml:space="preserve"> </v>
      </c>
      <c r="O257" s="109" t="str">
        <f>IFERROR(VLOOKUP(Open[[#This Row],[TS SG O 25.05.22 Rang]],$AJ$16:$AK$111,2,0)*O$5," ")</f>
        <v xml:space="preserve"> </v>
      </c>
      <c r="P257" s="109" t="str">
        <f>IFERROR(VLOOKUP(Open[[#This Row],[TS SH O 25.06.22 Rang]],$AJ$16:$AK$111,2,0)*P$5," ")</f>
        <v xml:space="preserve"> </v>
      </c>
      <c r="Q257" s="109" t="str">
        <f>IFERROR(VLOOKUP(Open[[#This Row],[TS ZH O/A 25.06.22 Rang]],$AJ$16:$AK$111,2,0)*Q$5," ")</f>
        <v xml:space="preserve"> </v>
      </c>
      <c r="R257" s="109" t="str">
        <f>IFERROR(VLOOKUP(Open[[#This Row],[TS ZH O/B 25.06.22 Rang]],$AJ$16:$AK$111,2,0)*R$5," ")</f>
        <v xml:space="preserve"> </v>
      </c>
      <c r="S257" s="109" t="str">
        <f>IFERROR(VLOOKUP(Open[[#This Row],[SM BE O/A 09.07.22 Rang]],$AJ$16:$AK$111,2,0)*S$5," ")</f>
        <v xml:space="preserve"> </v>
      </c>
      <c r="T257" s="109" t="str">
        <f>IFERROR(VLOOKUP(Open[[#This Row],[SM BE O/B 09.07.22 Rang]],$AJ$16:$AK$111,2,0)*T$5," ")</f>
        <v xml:space="preserve"> </v>
      </c>
      <c r="U257" s="11">
        <v>0</v>
      </c>
      <c r="V257" s="11">
        <v>0</v>
      </c>
      <c r="W257" s="11">
        <v>0</v>
      </c>
      <c r="X257" s="129"/>
      <c r="Y257" s="191"/>
      <c r="Z257" s="191"/>
      <c r="AA257" s="191"/>
      <c r="AB257" s="191"/>
      <c r="AC257" s="191"/>
      <c r="AD257" s="191"/>
      <c r="AE257" s="191"/>
      <c r="AF257" s="191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BB257" s="4"/>
      <c r="BC257" s="4"/>
      <c r="BD257" s="4"/>
      <c r="BE257" s="4"/>
      <c r="BF257" s="4"/>
      <c r="BG257" s="4"/>
      <c r="BH257" s="4"/>
      <c r="BI257" s="4"/>
    </row>
    <row r="258" spans="1:61" x14ac:dyDescent="0.2">
      <c r="A258" s="11">
        <v>173</v>
      </c>
      <c r="B258" s="11">
        <f>IF(Open[[#This Row],[PR Rang beim letzten Turnier]]&gt;Open[[#This Row],[PR Rang]],1,IF(Open[[#This Row],[PR Rang beim letzten Turnier]]=Open[[#This Row],[PR Rang]],0,-1))</f>
        <v>-1</v>
      </c>
      <c r="C258" s="147">
        <f>RANK(Open[[#This Row],[PR Punkte]],Open[PR Punkte],0)</f>
        <v>205</v>
      </c>
      <c r="D258" s="9" t="s">
        <v>192</v>
      </c>
      <c r="E258" s="9" t="s">
        <v>13</v>
      </c>
      <c r="F258" s="109">
        <f>SUM(Open[[#This Row],[PR 1]:[PR 3]])</f>
        <v>0</v>
      </c>
      <c r="G258" s="109">
        <f>LARGE(Open[[#This Row],[TS SH O 22.02.22]:[PR3]],1)</f>
        <v>0</v>
      </c>
      <c r="H258" s="109">
        <f>LARGE(Open[[#This Row],[TS SH O 22.02.22]:[PR3]],2)</f>
        <v>0</v>
      </c>
      <c r="I258" s="109">
        <f>LARGE(Open[[#This Row],[TS SH O 22.02.22]:[PR3]],3)</f>
        <v>0</v>
      </c>
      <c r="J258" s="9">
        <f>RANK(K258,$K$7:$K$295,0)</f>
        <v>205</v>
      </c>
      <c r="K258" s="109">
        <f>SUM(L258:W258)</f>
        <v>0</v>
      </c>
      <c r="L258" s="109" t="str">
        <f>IFERROR(VLOOKUP(Open[[#This Row],[TS SH 22.02.22 Rang]],$AJ$16:$AK$111,2,0)*L$5," ")</f>
        <v xml:space="preserve"> </v>
      </c>
      <c r="M258" s="109" t="str">
        <f>IFERROR(VLOOKUP(Open[[#This Row],[TS SH O 23.04.22 Rang]],$AJ$16:$AK$111,2,0)*M$5," ")</f>
        <v xml:space="preserve"> </v>
      </c>
      <c r="N258" s="109" t="str">
        <f>IFERROR(VLOOKUP(Open[[#This Row],[TS LA O 08.05.22 Rang]],$AJ$16:$AK$111,2,0)*N$5," ")</f>
        <v xml:space="preserve"> </v>
      </c>
      <c r="O258" s="109" t="str">
        <f>IFERROR(VLOOKUP(Open[[#This Row],[TS SG O 25.05.22 Rang]],$AJ$16:$AK$111,2,0)*O$5," ")</f>
        <v xml:space="preserve"> </v>
      </c>
      <c r="P258" s="109" t="str">
        <f>IFERROR(VLOOKUP(Open[[#This Row],[TS SH O 25.06.22 Rang]],$AJ$16:$AK$111,2,0)*P$5," ")</f>
        <v xml:space="preserve"> </v>
      </c>
      <c r="Q258" s="109" t="str">
        <f>IFERROR(VLOOKUP(Open[[#This Row],[TS ZH O/A 25.06.22 Rang]],$AJ$16:$AK$111,2,0)*Q$5," ")</f>
        <v xml:space="preserve"> </v>
      </c>
      <c r="R258" s="109" t="str">
        <f>IFERROR(VLOOKUP(Open[[#This Row],[TS ZH O/B 25.06.22 Rang]],$AJ$16:$AK$111,2,0)*R$5," ")</f>
        <v xml:space="preserve"> </v>
      </c>
      <c r="S258" s="109" t="str">
        <f>IFERROR(VLOOKUP(Open[[#This Row],[SM BE O/A 09.07.22 Rang]],$AJ$16:$AK$111,2,0)*S$5," ")</f>
        <v xml:space="preserve"> </v>
      </c>
      <c r="T258" s="109" t="str">
        <f>IFERROR(VLOOKUP(Open[[#This Row],[SM BE O/B 09.07.22 Rang]],$AJ$16:$AK$111,2,0)*T$5," ")</f>
        <v xml:space="preserve"> </v>
      </c>
      <c r="U258" s="11">
        <v>0</v>
      </c>
      <c r="V258" s="11">
        <v>0</v>
      </c>
      <c r="W258" s="11">
        <v>0</v>
      </c>
      <c r="X258" s="129"/>
      <c r="Y258" s="191"/>
      <c r="Z258" s="191"/>
      <c r="AA258" s="191"/>
      <c r="AB258" s="191"/>
      <c r="AC258" s="191"/>
      <c r="AD258" s="191"/>
      <c r="AE258" s="191"/>
      <c r="AF258" s="191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BB258" s="4"/>
      <c r="BC258" s="4"/>
      <c r="BD258" s="4"/>
      <c r="BE258" s="4"/>
      <c r="BF258" s="4"/>
      <c r="BG258" s="4"/>
      <c r="BH258" s="4"/>
      <c r="BI258" s="4"/>
    </row>
    <row r="259" spans="1:61" x14ac:dyDescent="0.2">
      <c r="A259" s="11">
        <v>173</v>
      </c>
      <c r="B259" s="11">
        <f>IF(Open[[#This Row],[PR Rang beim letzten Turnier]]&gt;Open[[#This Row],[PR Rang]],1,IF(Open[[#This Row],[PR Rang beim letzten Turnier]]=Open[[#This Row],[PR Rang]],0,-1))</f>
        <v>-1</v>
      </c>
      <c r="C259" s="147">
        <f>RANK(Open[[#This Row],[PR Punkte]],Open[PR Punkte],0)</f>
        <v>205</v>
      </c>
      <c r="D259" s="12" t="s">
        <v>175</v>
      </c>
      <c r="E259" s="12" t="s">
        <v>11</v>
      </c>
      <c r="F259" s="109">
        <f>SUM(Open[[#This Row],[PR 1]:[PR 3]])</f>
        <v>0</v>
      </c>
      <c r="G259" s="109">
        <f>LARGE(Open[[#This Row],[TS SH O 22.02.22]:[PR3]],1)</f>
        <v>0</v>
      </c>
      <c r="H259" s="109">
        <f>LARGE(Open[[#This Row],[TS SH O 22.02.22]:[PR3]],2)</f>
        <v>0</v>
      </c>
      <c r="I259" s="109">
        <f>LARGE(Open[[#This Row],[TS SH O 22.02.22]:[PR3]],3)</f>
        <v>0</v>
      </c>
      <c r="J259" s="86">
        <f>RANK(K259,$K$7:$K$295,0)</f>
        <v>205</v>
      </c>
      <c r="K259" s="109">
        <f>SUM(L259:W259)</f>
        <v>0</v>
      </c>
      <c r="L259" s="109" t="str">
        <f>IFERROR(VLOOKUP(Open[[#This Row],[TS SH 22.02.22 Rang]],$AJ$16:$AK$111,2,0)*L$5," ")</f>
        <v xml:space="preserve"> </v>
      </c>
      <c r="M259" s="109" t="str">
        <f>IFERROR(VLOOKUP(Open[[#This Row],[TS SH O 23.04.22 Rang]],$AJ$16:$AK$111,2,0)*M$5," ")</f>
        <v xml:space="preserve"> </v>
      </c>
      <c r="N259" s="109" t="str">
        <f>IFERROR(VLOOKUP(Open[[#This Row],[TS LA O 08.05.22 Rang]],$AJ$16:$AK$111,2,0)*N$5," ")</f>
        <v xml:space="preserve"> </v>
      </c>
      <c r="O259" s="109" t="str">
        <f>IFERROR(VLOOKUP(Open[[#This Row],[TS SG O 25.05.22 Rang]],$AJ$16:$AK$111,2,0)*O$5," ")</f>
        <v xml:space="preserve"> </v>
      </c>
      <c r="P259" s="109" t="str">
        <f>IFERROR(VLOOKUP(Open[[#This Row],[TS SH O 25.06.22 Rang]],$AJ$16:$AK$111,2,0)*P$5," ")</f>
        <v xml:space="preserve"> </v>
      </c>
      <c r="Q259" s="109" t="str">
        <f>IFERROR(VLOOKUP(Open[[#This Row],[TS ZH O/A 25.06.22 Rang]],$AJ$16:$AK$111,2,0)*Q$5," ")</f>
        <v xml:space="preserve"> </v>
      </c>
      <c r="R259" s="109" t="str">
        <f>IFERROR(VLOOKUP(Open[[#This Row],[TS ZH O/B 25.06.22 Rang]],$AJ$16:$AK$111,2,0)*R$5," ")</f>
        <v xml:space="preserve"> </v>
      </c>
      <c r="S259" s="109" t="str">
        <f>IFERROR(VLOOKUP(Open[[#This Row],[SM BE O/A 09.07.22 Rang]],$AJ$16:$AK$111,2,0)*S$5," ")</f>
        <v xml:space="preserve"> </v>
      </c>
      <c r="T259" s="109" t="str">
        <f>IFERROR(VLOOKUP(Open[[#This Row],[SM BE O/B 09.07.22 Rang]],$AJ$16:$AK$111,2,0)*T$5," ")</f>
        <v xml:space="preserve"> </v>
      </c>
      <c r="U259" s="11">
        <v>0</v>
      </c>
      <c r="V259" s="11">
        <v>0</v>
      </c>
      <c r="W259" s="11">
        <v>0</v>
      </c>
      <c r="X259" s="129"/>
      <c r="Y259" s="191"/>
      <c r="Z259" s="191"/>
      <c r="AA259" s="191"/>
      <c r="AB259" s="191"/>
      <c r="AC259" s="191"/>
      <c r="AD259" s="191"/>
      <c r="AE259" s="191"/>
      <c r="AF259" s="191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BB259" s="4"/>
      <c r="BC259" s="4"/>
      <c r="BD259" s="4"/>
      <c r="BE259" s="4"/>
      <c r="BF259" s="4"/>
      <c r="BG259" s="4"/>
      <c r="BH259" s="4"/>
      <c r="BI259" s="4"/>
    </row>
    <row r="260" spans="1:61" x14ac:dyDescent="0.2">
      <c r="A260" s="11">
        <v>173</v>
      </c>
      <c r="B260" s="11">
        <f>IF(Open[[#This Row],[PR Rang beim letzten Turnier]]&gt;Open[[#This Row],[PR Rang]],1,IF(Open[[#This Row],[PR Rang beim letzten Turnier]]=Open[[#This Row],[PR Rang]],0,-1))</f>
        <v>-1</v>
      </c>
      <c r="C260" s="147">
        <f>RANK(Open[[#This Row],[PR Punkte]],Open[PR Punkte],0)</f>
        <v>205</v>
      </c>
      <c r="D260" s="9" t="s">
        <v>177</v>
      </c>
      <c r="E260" s="9" t="s">
        <v>11</v>
      </c>
      <c r="F260" s="109">
        <f>SUM(Open[[#This Row],[PR 1]:[PR 3]])</f>
        <v>0</v>
      </c>
      <c r="G260" s="109">
        <f>LARGE(Open[[#This Row],[TS SH O 22.02.22]:[PR3]],1)</f>
        <v>0</v>
      </c>
      <c r="H260" s="109">
        <f>LARGE(Open[[#This Row],[TS SH O 22.02.22]:[PR3]],2)</f>
        <v>0</v>
      </c>
      <c r="I260" s="109">
        <f>LARGE(Open[[#This Row],[TS SH O 22.02.22]:[PR3]],3)</f>
        <v>0</v>
      </c>
      <c r="J260" s="9">
        <f>RANK(K260,$K$7:$K$295,0)</f>
        <v>205</v>
      </c>
      <c r="K260" s="109">
        <f>SUM(L260:W260)</f>
        <v>0</v>
      </c>
      <c r="L260" s="109" t="str">
        <f>IFERROR(VLOOKUP(Open[[#This Row],[TS SH 22.02.22 Rang]],$AJ$16:$AK$111,2,0)*L$5," ")</f>
        <v xml:space="preserve"> </v>
      </c>
      <c r="M260" s="109" t="str">
        <f>IFERROR(VLOOKUP(Open[[#This Row],[TS SH O 23.04.22 Rang]],$AJ$16:$AK$111,2,0)*M$5," ")</f>
        <v xml:space="preserve"> </v>
      </c>
      <c r="N260" s="109" t="str">
        <f>IFERROR(VLOOKUP(Open[[#This Row],[TS LA O 08.05.22 Rang]],$AJ$16:$AK$111,2,0)*N$5," ")</f>
        <v xml:space="preserve"> </v>
      </c>
      <c r="O260" s="109" t="str">
        <f>IFERROR(VLOOKUP(Open[[#This Row],[TS SG O 25.05.22 Rang]],$AJ$16:$AK$111,2,0)*O$5," ")</f>
        <v xml:space="preserve"> </v>
      </c>
      <c r="P260" s="109" t="str">
        <f>IFERROR(VLOOKUP(Open[[#This Row],[TS SH O 25.06.22 Rang]],$AJ$16:$AK$111,2,0)*P$5," ")</f>
        <v xml:space="preserve"> </v>
      </c>
      <c r="Q260" s="109" t="str">
        <f>IFERROR(VLOOKUP(Open[[#This Row],[TS ZH O/A 25.06.22 Rang]],$AJ$16:$AK$111,2,0)*Q$5," ")</f>
        <v xml:space="preserve"> </v>
      </c>
      <c r="R260" s="109" t="str">
        <f>IFERROR(VLOOKUP(Open[[#This Row],[TS ZH O/B 25.06.22 Rang]],$AJ$16:$AK$111,2,0)*R$5," ")</f>
        <v xml:space="preserve"> </v>
      </c>
      <c r="S260" s="109" t="str">
        <f>IFERROR(VLOOKUP(Open[[#This Row],[SM BE O/A 09.07.22 Rang]],$AJ$16:$AK$111,2,0)*S$5," ")</f>
        <v xml:space="preserve"> </v>
      </c>
      <c r="T260" s="109" t="str">
        <f>IFERROR(VLOOKUP(Open[[#This Row],[SM BE O/B 09.07.22 Rang]],$AJ$16:$AK$111,2,0)*T$5," ")</f>
        <v xml:space="preserve"> </v>
      </c>
      <c r="U260" s="11">
        <v>0</v>
      </c>
      <c r="V260" s="11">
        <v>0</v>
      </c>
      <c r="W260" s="11">
        <v>0</v>
      </c>
      <c r="X260" s="129"/>
      <c r="Y260" s="191"/>
      <c r="Z260" s="191"/>
      <c r="AA260" s="191"/>
      <c r="AB260" s="191"/>
      <c r="AC260" s="191"/>
      <c r="AD260" s="191"/>
      <c r="AE260" s="191"/>
      <c r="AF260" s="191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BB260" s="4"/>
      <c r="BC260" s="4"/>
      <c r="BD260" s="4"/>
      <c r="BE260" s="4"/>
      <c r="BF260" s="4"/>
      <c r="BG260" s="4"/>
      <c r="BH260" s="4"/>
      <c r="BI260" s="4"/>
    </row>
    <row r="261" spans="1:61" x14ac:dyDescent="0.2">
      <c r="A261" s="11">
        <v>173</v>
      </c>
      <c r="B261" s="11">
        <f>IF(Open[[#This Row],[PR Rang beim letzten Turnier]]&gt;Open[[#This Row],[PR Rang]],1,IF(Open[[#This Row],[PR Rang beim letzten Turnier]]=Open[[#This Row],[PR Rang]],0,-1))</f>
        <v>-1</v>
      </c>
      <c r="C261" s="147">
        <f>RANK(Open[[#This Row],[PR Punkte]],Open[PR Punkte],0)</f>
        <v>205</v>
      </c>
      <c r="D261" s="9" t="s">
        <v>184</v>
      </c>
      <c r="E261" s="9" t="s">
        <v>11</v>
      </c>
      <c r="F261" s="109">
        <f>SUM(Open[[#This Row],[PR 1]:[PR 3]])</f>
        <v>0</v>
      </c>
      <c r="G261" s="109">
        <f>LARGE(Open[[#This Row],[TS SH O 22.02.22]:[PR3]],1)</f>
        <v>0</v>
      </c>
      <c r="H261" s="109">
        <f>LARGE(Open[[#This Row],[TS SH O 22.02.22]:[PR3]],2)</f>
        <v>0</v>
      </c>
      <c r="I261" s="109">
        <f>LARGE(Open[[#This Row],[TS SH O 22.02.22]:[PR3]],3)</f>
        <v>0</v>
      </c>
      <c r="J261" s="9">
        <f>RANK(K261,$K$7:$K$295,0)</f>
        <v>205</v>
      </c>
      <c r="K261" s="109">
        <f>SUM(L261:W261)</f>
        <v>0</v>
      </c>
      <c r="L261" s="109" t="str">
        <f>IFERROR(VLOOKUP(Open[[#This Row],[TS SH 22.02.22 Rang]],$AJ$16:$AK$111,2,0)*L$5," ")</f>
        <v xml:space="preserve"> </v>
      </c>
      <c r="M261" s="109" t="str">
        <f>IFERROR(VLOOKUP(Open[[#This Row],[TS SH O 23.04.22 Rang]],$AJ$16:$AK$111,2,0)*M$5," ")</f>
        <v xml:space="preserve"> </v>
      </c>
      <c r="N261" s="109" t="str">
        <f>IFERROR(VLOOKUP(Open[[#This Row],[TS LA O 08.05.22 Rang]],$AJ$16:$AK$111,2,0)*N$5," ")</f>
        <v xml:space="preserve"> </v>
      </c>
      <c r="O261" s="109" t="str">
        <f>IFERROR(VLOOKUP(Open[[#This Row],[TS SG O 25.05.22 Rang]],$AJ$16:$AK$111,2,0)*O$5," ")</f>
        <v xml:space="preserve"> </v>
      </c>
      <c r="P261" s="109" t="str">
        <f>IFERROR(VLOOKUP(Open[[#This Row],[TS SH O 25.06.22 Rang]],$AJ$16:$AK$111,2,0)*P$5," ")</f>
        <v xml:space="preserve"> </v>
      </c>
      <c r="Q261" s="109" t="str">
        <f>IFERROR(VLOOKUP(Open[[#This Row],[TS ZH O/A 25.06.22 Rang]],$AJ$16:$AK$111,2,0)*Q$5," ")</f>
        <v xml:space="preserve"> </v>
      </c>
      <c r="R261" s="109" t="str">
        <f>IFERROR(VLOOKUP(Open[[#This Row],[TS ZH O/B 25.06.22 Rang]],$AJ$16:$AK$111,2,0)*R$5," ")</f>
        <v xml:space="preserve"> </v>
      </c>
      <c r="S261" s="109" t="str">
        <f>IFERROR(VLOOKUP(Open[[#This Row],[SM BE O/A 09.07.22 Rang]],$AJ$16:$AK$111,2,0)*S$5," ")</f>
        <v xml:space="preserve"> </v>
      </c>
      <c r="T261" s="109" t="str">
        <f>IFERROR(VLOOKUP(Open[[#This Row],[SM BE O/B 09.07.22 Rang]],$AJ$16:$AK$111,2,0)*T$5," ")</f>
        <v xml:space="preserve"> </v>
      </c>
      <c r="U261" s="11">
        <v>0</v>
      </c>
      <c r="V261" s="11">
        <v>0</v>
      </c>
      <c r="W261" s="11">
        <v>0</v>
      </c>
      <c r="X261" s="129"/>
      <c r="Y261" s="191"/>
      <c r="Z261" s="191"/>
      <c r="AA261" s="191"/>
      <c r="AB261" s="191"/>
      <c r="AC261" s="191"/>
      <c r="AD261" s="191"/>
      <c r="AE261" s="191"/>
      <c r="AF261" s="191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BB261" s="4"/>
      <c r="BC261" s="4"/>
      <c r="BD261" s="4"/>
      <c r="BE261" s="4"/>
      <c r="BF261" s="4"/>
      <c r="BG261" s="4"/>
      <c r="BH261" s="4"/>
      <c r="BI261" s="4"/>
    </row>
    <row r="262" spans="1:61" x14ac:dyDescent="0.2">
      <c r="A262" s="11">
        <v>173</v>
      </c>
      <c r="B262" s="11">
        <f>IF(Open[[#This Row],[PR Rang beim letzten Turnier]]&gt;Open[[#This Row],[PR Rang]],1,IF(Open[[#This Row],[PR Rang beim letzten Turnier]]=Open[[#This Row],[PR Rang]],0,-1))</f>
        <v>-1</v>
      </c>
      <c r="C262" s="147">
        <f>RANK(Open[[#This Row],[PR Punkte]],Open[PR Punkte],0)</f>
        <v>205</v>
      </c>
      <c r="D262" s="9" t="s">
        <v>183</v>
      </c>
      <c r="E262" s="9" t="s">
        <v>11</v>
      </c>
      <c r="F262" s="109">
        <f>SUM(Open[[#This Row],[PR 1]:[PR 3]])</f>
        <v>0</v>
      </c>
      <c r="G262" s="109">
        <f>LARGE(Open[[#This Row],[TS SH O 22.02.22]:[PR3]],1)</f>
        <v>0</v>
      </c>
      <c r="H262" s="109">
        <f>LARGE(Open[[#This Row],[TS SH O 22.02.22]:[PR3]],2)</f>
        <v>0</v>
      </c>
      <c r="I262" s="109">
        <f>LARGE(Open[[#This Row],[TS SH O 22.02.22]:[PR3]],3)</f>
        <v>0</v>
      </c>
      <c r="J262" s="9">
        <f>RANK(K262,$K$7:$K$295,0)</f>
        <v>205</v>
      </c>
      <c r="K262" s="109">
        <f>SUM(L262:W262)</f>
        <v>0</v>
      </c>
      <c r="L262" s="109" t="str">
        <f>IFERROR(VLOOKUP(Open[[#This Row],[TS SH 22.02.22 Rang]],$AJ$16:$AK$111,2,0)*L$5," ")</f>
        <v xml:space="preserve"> </v>
      </c>
      <c r="M262" s="109" t="str">
        <f>IFERROR(VLOOKUP(Open[[#This Row],[TS SH O 23.04.22 Rang]],$AJ$16:$AK$111,2,0)*M$5," ")</f>
        <v xml:space="preserve"> </v>
      </c>
      <c r="N262" s="109" t="str">
        <f>IFERROR(VLOOKUP(Open[[#This Row],[TS LA O 08.05.22 Rang]],$AJ$16:$AK$111,2,0)*N$5," ")</f>
        <v xml:space="preserve"> </v>
      </c>
      <c r="O262" s="109" t="str">
        <f>IFERROR(VLOOKUP(Open[[#This Row],[TS SG O 25.05.22 Rang]],$AJ$16:$AK$111,2,0)*O$5," ")</f>
        <v xml:space="preserve"> </v>
      </c>
      <c r="P262" s="109" t="str">
        <f>IFERROR(VLOOKUP(Open[[#This Row],[TS SH O 25.06.22 Rang]],$AJ$16:$AK$111,2,0)*P$5," ")</f>
        <v xml:space="preserve"> </v>
      </c>
      <c r="Q262" s="109" t="str">
        <f>IFERROR(VLOOKUP(Open[[#This Row],[TS ZH O/A 25.06.22 Rang]],$AJ$16:$AK$111,2,0)*Q$5," ")</f>
        <v xml:space="preserve"> </v>
      </c>
      <c r="R262" s="109" t="str">
        <f>IFERROR(VLOOKUP(Open[[#This Row],[TS ZH O/B 25.06.22 Rang]],$AJ$16:$AK$111,2,0)*R$5," ")</f>
        <v xml:space="preserve"> </v>
      </c>
      <c r="S262" s="109" t="str">
        <f>IFERROR(VLOOKUP(Open[[#This Row],[SM BE O/A 09.07.22 Rang]],$AJ$16:$AK$111,2,0)*S$5," ")</f>
        <v xml:space="preserve"> </v>
      </c>
      <c r="T262" s="109" t="str">
        <f>IFERROR(VLOOKUP(Open[[#This Row],[SM BE O/B 09.07.22 Rang]],$AJ$16:$AK$111,2,0)*T$5," ")</f>
        <v xml:space="preserve"> </v>
      </c>
      <c r="U262" s="11">
        <v>0</v>
      </c>
      <c r="V262" s="11">
        <v>0</v>
      </c>
      <c r="W262" s="11">
        <v>0</v>
      </c>
      <c r="X262" s="129"/>
      <c r="Y262" s="191"/>
      <c r="Z262" s="191"/>
      <c r="AA262" s="191"/>
      <c r="AB262" s="191"/>
      <c r="AC262" s="191"/>
      <c r="AD262" s="191"/>
      <c r="AE262" s="191"/>
      <c r="AF262" s="191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BB262" s="4"/>
      <c r="BC262" s="4"/>
      <c r="BD262" s="4"/>
      <c r="BE262" s="4"/>
      <c r="BF262" s="4"/>
      <c r="BG262" s="4"/>
      <c r="BH262" s="4"/>
      <c r="BI262" s="4"/>
    </row>
    <row r="263" spans="1:61" x14ac:dyDescent="0.2">
      <c r="A263" s="11">
        <v>173</v>
      </c>
      <c r="B263" s="11">
        <f>IF(Open[[#This Row],[PR Rang beim letzten Turnier]]&gt;Open[[#This Row],[PR Rang]],1,IF(Open[[#This Row],[PR Rang beim letzten Turnier]]=Open[[#This Row],[PR Rang]],0,-1))</f>
        <v>-1</v>
      </c>
      <c r="C263" s="147">
        <f>RANK(Open[[#This Row],[PR Punkte]],Open[PR Punkte],0)</f>
        <v>205</v>
      </c>
      <c r="D263" s="13" t="s">
        <v>170</v>
      </c>
      <c r="E263" s="13" t="s">
        <v>13</v>
      </c>
      <c r="F263" s="109">
        <f>SUM(Open[[#This Row],[PR 1]:[PR 3]])</f>
        <v>0</v>
      </c>
      <c r="G263" s="109">
        <f>LARGE(Open[[#This Row],[TS SH O 22.02.22]:[PR3]],1)</f>
        <v>0</v>
      </c>
      <c r="H263" s="109">
        <f>LARGE(Open[[#This Row],[TS SH O 22.02.22]:[PR3]],2)</f>
        <v>0</v>
      </c>
      <c r="I263" s="109">
        <f>LARGE(Open[[#This Row],[TS SH O 22.02.22]:[PR3]],3)</f>
        <v>0</v>
      </c>
      <c r="J263" s="13">
        <f>RANK(K263,$K$7:$K$295,0)</f>
        <v>205</v>
      </c>
      <c r="K263" s="109">
        <f>SUM(L263:W263)</f>
        <v>0</v>
      </c>
      <c r="L263" s="109" t="str">
        <f>IFERROR(VLOOKUP(Open[[#This Row],[TS SH 22.02.22 Rang]],$AJ$16:$AK$111,2,0)*L$5," ")</f>
        <v xml:space="preserve"> </v>
      </c>
      <c r="M263" s="109" t="str">
        <f>IFERROR(VLOOKUP(Open[[#This Row],[TS SH O 23.04.22 Rang]],$AJ$16:$AK$111,2,0)*M$5," ")</f>
        <v xml:space="preserve"> </v>
      </c>
      <c r="N263" s="109" t="str">
        <f>IFERROR(VLOOKUP(Open[[#This Row],[TS LA O 08.05.22 Rang]],$AJ$16:$AK$111,2,0)*N$5," ")</f>
        <v xml:space="preserve"> </v>
      </c>
      <c r="O263" s="109" t="str">
        <f>IFERROR(VLOOKUP(Open[[#This Row],[TS SG O 25.05.22 Rang]],$AJ$16:$AK$111,2,0)*O$5," ")</f>
        <v xml:space="preserve"> </v>
      </c>
      <c r="P263" s="109" t="str">
        <f>IFERROR(VLOOKUP(Open[[#This Row],[TS SH O 25.06.22 Rang]],$AJ$16:$AK$111,2,0)*P$5," ")</f>
        <v xml:space="preserve"> </v>
      </c>
      <c r="Q263" s="109" t="str">
        <f>IFERROR(VLOOKUP(Open[[#This Row],[TS ZH O/A 25.06.22 Rang]],$AJ$16:$AK$111,2,0)*Q$5," ")</f>
        <v xml:space="preserve"> </v>
      </c>
      <c r="R263" s="109" t="str">
        <f>IFERROR(VLOOKUP(Open[[#This Row],[TS ZH O/B 25.06.22 Rang]],$AJ$16:$AK$111,2,0)*R$5," ")</f>
        <v xml:space="preserve"> </v>
      </c>
      <c r="S263" s="109" t="str">
        <f>IFERROR(VLOOKUP(Open[[#This Row],[SM BE O/A 09.07.22 Rang]],$AJ$16:$AK$111,2,0)*S$5," ")</f>
        <v xml:space="preserve"> </v>
      </c>
      <c r="T263" s="109" t="str">
        <f>IFERROR(VLOOKUP(Open[[#This Row],[SM BE O/B 09.07.22 Rang]],$AJ$16:$AK$111,2,0)*T$5," ")</f>
        <v xml:space="preserve"> </v>
      </c>
      <c r="U263" s="11">
        <v>0</v>
      </c>
      <c r="V263" s="11">
        <v>0</v>
      </c>
      <c r="W263" s="11">
        <v>0</v>
      </c>
      <c r="X263" s="129"/>
      <c r="Y263" s="191"/>
      <c r="Z263" s="191"/>
      <c r="AA263" s="191"/>
      <c r="AB263" s="191"/>
      <c r="AC263" s="191"/>
      <c r="AD263" s="191"/>
      <c r="AE263" s="191"/>
      <c r="AF263" s="191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BB263" s="4"/>
      <c r="BC263" s="4"/>
      <c r="BD263" s="4"/>
      <c r="BE263" s="4"/>
      <c r="BF263" s="4"/>
      <c r="BG263" s="4"/>
      <c r="BH263" s="4"/>
      <c r="BI263" s="4"/>
    </row>
    <row r="264" spans="1:61" x14ac:dyDescent="0.2">
      <c r="A264" s="11">
        <v>173</v>
      </c>
      <c r="B264" s="11">
        <f>IF(Open[[#This Row],[PR Rang beim letzten Turnier]]&gt;Open[[#This Row],[PR Rang]],1,IF(Open[[#This Row],[PR Rang beim letzten Turnier]]=Open[[#This Row],[PR Rang]],0,-1))</f>
        <v>-1</v>
      </c>
      <c r="C264" s="147">
        <f>RANK(Open[[#This Row],[PR Punkte]],Open[PR Punkte],0)</f>
        <v>205</v>
      </c>
      <c r="D264" s="9" t="s">
        <v>193</v>
      </c>
      <c r="E264" s="9" t="s">
        <v>13</v>
      </c>
      <c r="F264" s="109">
        <f>SUM(Open[[#This Row],[PR 1]:[PR 3]])</f>
        <v>0</v>
      </c>
      <c r="G264" s="109">
        <f>LARGE(Open[[#This Row],[TS SH O 22.02.22]:[PR3]],1)</f>
        <v>0</v>
      </c>
      <c r="H264" s="109">
        <f>LARGE(Open[[#This Row],[TS SH O 22.02.22]:[PR3]],2)</f>
        <v>0</v>
      </c>
      <c r="I264" s="109">
        <f>LARGE(Open[[#This Row],[TS SH O 22.02.22]:[PR3]],3)</f>
        <v>0</v>
      </c>
      <c r="J264" s="9">
        <f>RANK(K264,$K$7:$K$361,0)</f>
        <v>205</v>
      </c>
      <c r="K264" s="109">
        <f>SUM(L264:W264)</f>
        <v>0</v>
      </c>
      <c r="L264" s="109" t="str">
        <f>IFERROR(VLOOKUP(Open[[#This Row],[TS SH 22.02.22 Rang]],$AJ$16:$AK$111,2,0)*L$5," ")</f>
        <v xml:space="preserve"> </v>
      </c>
      <c r="M264" s="109" t="str">
        <f>IFERROR(VLOOKUP(Open[[#This Row],[TS SH O 23.04.22 Rang]],$AJ$16:$AK$111,2,0)*M$5," ")</f>
        <v xml:space="preserve"> </v>
      </c>
      <c r="N264" s="109" t="str">
        <f>IFERROR(VLOOKUP(Open[[#This Row],[TS LA O 08.05.22 Rang]],$AJ$16:$AK$111,2,0)*N$5," ")</f>
        <v xml:space="preserve"> </v>
      </c>
      <c r="O264" s="109" t="str">
        <f>IFERROR(VLOOKUP(Open[[#This Row],[TS SG O 25.05.22 Rang]],$AJ$16:$AK$111,2,0)*O$5," ")</f>
        <v xml:space="preserve"> </v>
      </c>
      <c r="P264" s="109" t="str">
        <f>IFERROR(VLOOKUP(Open[[#This Row],[TS SH O 25.06.22 Rang]],$AJ$16:$AK$111,2,0)*P$5," ")</f>
        <v xml:space="preserve"> </v>
      </c>
      <c r="Q264" s="109" t="str">
        <f>IFERROR(VLOOKUP(Open[[#This Row],[TS ZH O/A 25.06.22 Rang]],$AJ$16:$AK$111,2,0)*Q$5," ")</f>
        <v xml:space="preserve"> </v>
      </c>
      <c r="R264" s="109" t="str">
        <f>IFERROR(VLOOKUP(Open[[#This Row],[TS ZH O/B 25.06.22 Rang]],$AJ$16:$AK$111,2,0)*R$5," ")</f>
        <v xml:space="preserve"> </v>
      </c>
      <c r="S264" s="109" t="str">
        <f>IFERROR(VLOOKUP(Open[[#This Row],[SM BE O/A 09.07.22 Rang]],$AJ$16:$AK$111,2,0)*S$5," ")</f>
        <v xml:space="preserve"> </v>
      </c>
      <c r="T264" s="109" t="str">
        <f>IFERROR(VLOOKUP(Open[[#This Row],[SM BE O/B 09.07.22 Rang]],$AJ$16:$AK$111,2,0)*T$5," ")</f>
        <v xml:space="preserve"> </v>
      </c>
      <c r="U264" s="11">
        <v>0</v>
      </c>
      <c r="V264" s="11">
        <v>0</v>
      </c>
      <c r="W264" s="11">
        <v>0</v>
      </c>
      <c r="X264" s="129"/>
      <c r="Y264" s="191"/>
      <c r="Z264" s="191"/>
      <c r="AA264" s="191"/>
      <c r="AB264" s="191"/>
      <c r="AC264" s="191"/>
      <c r="AD264" s="191"/>
      <c r="AE264" s="191"/>
      <c r="AF264" s="191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BB264" s="4"/>
      <c r="BC264" s="4"/>
      <c r="BD264" s="4"/>
      <c r="BE264" s="4"/>
      <c r="BF264" s="4"/>
      <c r="BG264" s="4"/>
      <c r="BH264" s="4"/>
      <c r="BI264" s="4"/>
    </row>
    <row r="265" spans="1:61" x14ac:dyDescent="0.2">
      <c r="A265" s="11">
        <v>173</v>
      </c>
      <c r="B265" s="11">
        <f>IF(Open[[#This Row],[PR Rang beim letzten Turnier]]&gt;Open[[#This Row],[PR Rang]],1,IF(Open[[#This Row],[PR Rang beim letzten Turnier]]=Open[[#This Row],[PR Rang]],0,-1))</f>
        <v>-1</v>
      </c>
      <c r="C265" s="147">
        <f>RANK(Open[[#This Row],[PR Punkte]],Open[PR Punkte],0)</f>
        <v>205</v>
      </c>
      <c r="D265" s="9" t="s">
        <v>178</v>
      </c>
      <c r="E265" s="9" t="s">
        <v>11</v>
      </c>
      <c r="F265" s="109">
        <f>SUM(Open[[#This Row],[PR 1]:[PR 3]])</f>
        <v>0</v>
      </c>
      <c r="G265" s="109">
        <f>LARGE(Open[[#This Row],[TS SH O 22.02.22]:[PR3]],1)</f>
        <v>0</v>
      </c>
      <c r="H265" s="109">
        <f>LARGE(Open[[#This Row],[TS SH O 22.02.22]:[PR3]],2)</f>
        <v>0</v>
      </c>
      <c r="I265" s="109">
        <f>LARGE(Open[[#This Row],[TS SH O 22.02.22]:[PR3]],3)</f>
        <v>0</v>
      </c>
      <c r="J265" s="9">
        <f>RANK(K265,$K$7:$K$295,0)</f>
        <v>205</v>
      </c>
      <c r="K265" s="109">
        <f>SUM(L265:W265)</f>
        <v>0</v>
      </c>
      <c r="L265" s="109" t="str">
        <f>IFERROR(VLOOKUP(Open[[#This Row],[TS SH 22.02.22 Rang]],$AJ$16:$AK$111,2,0)*L$5," ")</f>
        <v xml:space="preserve"> </v>
      </c>
      <c r="M265" s="109" t="str">
        <f>IFERROR(VLOOKUP(Open[[#This Row],[TS SH O 23.04.22 Rang]],$AJ$16:$AK$111,2,0)*M$5," ")</f>
        <v xml:space="preserve"> </v>
      </c>
      <c r="N265" s="109" t="str">
        <f>IFERROR(VLOOKUP(Open[[#This Row],[TS LA O 08.05.22 Rang]],$AJ$16:$AK$111,2,0)*N$5," ")</f>
        <v xml:space="preserve"> </v>
      </c>
      <c r="O265" s="109" t="str">
        <f>IFERROR(VLOOKUP(Open[[#This Row],[TS SG O 25.05.22 Rang]],$AJ$16:$AK$111,2,0)*O$5," ")</f>
        <v xml:space="preserve"> </v>
      </c>
      <c r="P265" s="109" t="str">
        <f>IFERROR(VLOOKUP(Open[[#This Row],[TS SH O 25.06.22 Rang]],$AJ$16:$AK$111,2,0)*P$5," ")</f>
        <v xml:space="preserve"> </v>
      </c>
      <c r="Q265" s="109" t="str">
        <f>IFERROR(VLOOKUP(Open[[#This Row],[TS ZH O/A 25.06.22 Rang]],$AJ$16:$AK$111,2,0)*Q$5," ")</f>
        <v xml:space="preserve"> </v>
      </c>
      <c r="R265" s="109" t="str">
        <f>IFERROR(VLOOKUP(Open[[#This Row],[TS ZH O/B 25.06.22 Rang]],$AJ$16:$AK$111,2,0)*R$5," ")</f>
        <v xml:space="preserve"> </v>
      </c>
      <c r="S265" s="109" t="str">
        <f>IFERROR(VLOOKUP(Open[[#This Row],[SM BE O/A 09.07.22 Rang]],$AJ$16:$AK$111,2,0)*S$5," ")</f>
        <v xml:space="preserve"> </v>
      </c>
      <c r="T265" s="109" t="str">
        <f>IFERROR(VLOOKUP(Open[[#This Row],[SM BE O/B 09.07.22 Rang]],$AJ$16:$AK$111,2,0)*T$5," ")</f>
        <v xml:space="preserve"> </v>
      </c>
      <c r="U265" s="11">
        <v>0</v>
      </c>
      <c r="V265" s="11">
        <v>0</v>
      </c>
      <c r="W265" s="11">
        <v>0</v>
      </c>
      <c r="X265" s="129"/>
      <c r="Y265" s="191"/>
      <c r="Z265" s="191"/>
      <c r="AA265" s="191"/>
      <c r="AB265" s="191"/>
      <c r="AC265" s="191"/>
      <c r="AD265" s="191"/>
      <c r="AE265" s="191"/>
      <c r="AF265" s="191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BB265" s="4"/>
      <c r="BC265" s="4"/>
      <c r="BD265" s="4"/>
      <c r="BE265" s="4"/>
      <c r="BF265" s="4"/>
      <c r="BG265" s="4"/>
      <c r="BH265" s="4"/>
      <c r="BI265" s="4"/>
    </row>
    <row r="266" spans="1:61" x14ac:dyDescent="0.2">
      <c r="A266" s="11">
        <v>173</v>
      </c>
      <c r="B266" s="11">
        <f>IF(Open[[#This Row],[PR Rang beim letzten Turnier]]&gt;Open[[#This Row],[PR Rang]],1,IF(Open[[#This Row],[PR Rang beim letzten Turnier]]=Open[[#This Row],[PR Rang]],0,-1))</f>
        <v>-1</v>
      </c>
      <c r="C266" s="147">
        <f>RANK(Open[[#This Row],[PR Punkte]],Open[PR Punkte],0)</f>
        <v>205</v>
      </c>
      <c r="D266" s="9" t="s">
        <v>174</v>
      </c>
      <c r="E266" s="9" t="s">
        <v>9</v>
      </c>
      <c r="F266" s="109">
        <f>SUM(Open[[#This Row],[PR 1]:[PR 3]])</f>
        <v>0</v>
      </c>
      <c r="G266" s="109">
        <f>LARGE(Open[[#This Row],[TS SH O 22.02.22]:[PR3]],1)</f>
        <v>0</v>
      </c>
      <c r="H266" s="109">
        <f>LARGE(Open[[#This Row],[TS SH O 22.02.22]:[PR3]],2)</f>
        <v>0</v>
      </c>
      <c r="I266" s="109">
        <f>LARGE(Open[[#This Row],[TS SH O 22.02.22]:[PR3]],3)</f>
        <v>0</v>
      </c>
      <c r="J266" s="9">
        <f>RANK(K266,$K$7:$K$295,0)</f>
        <v>205</v>
      </c>
      <c r="K266" s="109">
        <f>SUM(L266:W266)</f>
        <v>0</v>
      </c>
      <c r="L266" s="109" t="str">
        <f>IFERROR(VLOOKUP(Open[[#This Row],[TS SH 22.02.22 Rang]],$AJ$16:$AK$111,2,0)*L$5," ")</f>
        <v xml:space="preserve"> </v>
      </c>
      <c r="M266" s="109" t="str">
        <f>IFERROR(VLOOKUP(Open[[#This Row],[TS SH O 23.04.22 Rang]],$AJ$16:$AK$111,2,0)*M$5," ")</f>
        <v xml:space="preserve"> </v>
      </c>
      <c r="N266" s="109" t="str">
        <f>IFERROR(VLOOKUP(Open[[#This Row],[TS LA O 08.05.22 Rang]],$AJ$16:$AK$111,2,0)*N$5," ")</f>
        <v xml:space="preserve"> </v>
      </c>
      <c r="O266" s="109" t="str">
        <f>IFERROR(VLOOKUP(Open[[#This Row],[TS SG O 25.05.22 Rang]],$AJ$16:$AK$111,2,0)*O$5," ")</f>
        <v xml:space="preserve"> </v>
      </c>
      <c r="P266" s="109" t="str">
        <f>IFERROR(VLOOKUP(Open[[#This Row],[TS SH O 25.06.22 Rang]],$AJ$16:$AK$111,2,0)*P$5," ")</f>
        <v xml:space="preserve"> </v>
      </c>
      <c r="Q266" s="109" t="str">
        <f>IFERROR(VLOOKUP(Open[[#This Row],[TS ZH O/A 25.06.22 Rang]],$AJ$16:$AK$111,2,0)*Q$5," ")</f>
        <v xml:space="preserve"> </v>
      </c>
      <c r="R266" s="109" t="str">
        <f>IFERROR(VLOOKUP(Open[[#This Row],[TS ZH O/B 25.06.22 Rang]],$AJ$16:$AK$111,2,0)*R$5," ")</f>
        <v xml:space="preserve"> </v>
      </c>
      <c r="S266" s="109" t="str">
        <f>IFERROR(VLOOKUP(Open[[#This Row],[SM BE O/A 09.07.22 Rang]],$AJ$16:$AK$111,2,0)*S$5," ")</f>
        <v xml:space="preserve"> </v>
      </c>
      <c r="T266" s="109" t="str">
        <f>IFERROR(VLOOKUP(Open[[#This Row],[SM BE O/B 09.07.22 Rang]],$AJ$16:$AK$111,2,0)*T$5," ")</f>
        <v xml:space="preserve"> </v>
      </c>
      <c r="U266" s="11">
        <v>0</v>
      </c>
      <c r="V266" s="11">
        <v>0</v>
      </c>
      <c r="W266" s="11">
        <v>0</v>
      </c>
      <c r="X266" s="129"/>
      <c r="Y266" s="191"/>
      <c r="Z266" s="191"/>
      <c r="AA266" s="191"/>
      <c r="AB266" s="191"/>
      <c r="AC266" s="191"/>
      <c r="AD266" s="191"/>
      <c r="AE266" s="191"/>
      <c r="AF266" s="191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BB266" s="4"/>
      <c r="BC266" s="4"/>
      <c r="BD266" s="4"/>
      <c r="BE266" s="4"/>
      <c r="BF266" s="4"/>
      <c r="BG266" s="4"/>
      <c r="BH266" s="4"/>
      <c r="BI266" s="4"/>
    </row>
    <row r="267" spans="1:61" x14ac:dyDescent="0.2">
      <c r="A267" s="11">
        <v>173</v>
      </c>
      <c r="B267" s="11">
        <f>IF(Open[[#This Row],[PR Rang beim letzten Turnier]]&gt;Open[[#This Row],[PR Rang]],1,IF(Open[[#This Row],[PR Rang beim letzten Turnier]]=Open[[#This Row],[PR Rang]],0,-1))</f>
        <v>-1</v>
      </c>
      <c r="C267" s="147">
        <f>RANK(Open[[#This Row],[PR Punkte]],Open[PR Punkte],0)</f>
        <v>205</v>
      </c>
      <c r="D267" s="9" t="s">
        <v>180</v>
      </c>
      <c r="E267" s="9" t="s">
        <v>11</v>
      </c>
      <c r="F267" s="109">
        <f>SUM(Open[[#This Row],[PR 1]:[PR 3]])</f>
        <v>0</v>
      </c>
      <c r="G267" s="109">
        <f>LARGE(Open[[#This Row],[TS SH O 22.02.22]:[PR3]],1)</f>
        <v>0</v>
      </c>
      <c r="H267" s="109">
        <f>LARGE(Open[[#This Row],[TS SH O 22.02.22]:[PR3]],2)</f>
        <v>0</v>
      </c>
      <c r="I267" s="109">
        <f>LARGE(Open[[#This Row],[TS SH O 22.02.22]:[PR3]],3)</f>
        <v>0</v>
      </c>
      <c r="J267" s="9">
        <f>RANK(K267,$K$7:$K$295,0)</f>
        <v>205</v>
      </c>
      <c r="K267" s="109">
        <f>SUM(L267:W267)</f>
        <v>0</v>
      </c>
      <c r="L267" s="109" t="str">
        <f>IFERROR(VLOOKUP(Open[[#This Row],[TS SH 22.02.22 Rang]],$AJ$16:$AK$111,2,0)*L$5," ")</f>
        <v xml:space="preserve"> </v>
      </c>
      <c r="M267" s="109" t="str">
        <f>IFERROR(VLOOKUP(Open[[#This Row],[TS SH O 23.04.22 Rang]],$AJ$16:$AK$111,2,0)*M$5," ")</f>
        <v xml:space="preserve"> </v>
      </c>
      <c r="N267" s="109" t="str">
        <f>IFERROR(VLOOKUP(Open[[#This Row],[TS LA O 08.05.22 Rang]],$AJ$16:$AK$111,2,0)*N$5," ")</f>
        <v xml:space="preserve"> </v>
      </c>
      <c r="O267" s="109" t="str">
        <f>IFERROR(VLOOKUP(Open[[#This Row],[TS SG O 25.05.22 Rang]],$AJ$16:$AK$111,2,0)*O$5," ")</f>
        <v xml:space="preserve"> </v>
      </c>
      <c r="P267" s="109" t="str">
        <f>IFERROR(VLOOKUP(Open[[#This Row],[TS SH O 25.06.22 Rang]],$AJ$16:$AK$111,2,0)*P$5," ")</f>
        <v xml:space="preserve"> </v>
      </c>
      <c r="Q267" s="109" t="str">
        <f>IFERROR(VLOOKUP(Open[[#This Row],[TS ZH O/A 25.06.22 Rang]],$AJ$16:$AK$111,2,0)*Q$5," ")</f>
        <v xml:space="preserve"> </v>
      </c>
      <c r="R267" s="109" t="str">
        <f>IFERROR(VLOOKUP(Open[[#This Row],[TS ZH O/B 25.06.22 Rang]],$AJ$16:$AK$111,2,0)*R$5," ")</f>
        <v xml:space="preserve"> </v>
      </c>
      <c r="S267" s="109" t="str">
        <f>IFERROR(VLOOKUP(Open[[#This Row],[SM BE O/A 09.07.22 Rang]],$AJ$16:$AK$111,2,0)*S$5," ")</f>
        <v xml:space="preserve"> </v>
      </c>
      <c r="T267" s="109" t="str">
        <f>IFERROR(VLOOKUP(Open[[#This Row],[SM BE O/B 09.07.22 Rang]],$AJ$16:$AK$111,2,0)*T$5," ")</f>
        <v xml:space="preserve"> </v>
      </c>
      <c r="U267" s="11">
        <v>0</v>
      </c>
      <c r="V267" s="11">
        <v>0</v>
      </c>
      <c r="W267" s="11">
        <v>0</v>
      </c>
      <c r="X267" s="129"/>
      <c r="Y267" s="191"/>
      <c r="Z267" s="191"/>
      <c r="AA267" s="191"/>
      <c r="AB267" s="191"/>
      <c r="AC267" s="191"/>
      <c r="AD267" s="191"/>
      <c r="AE267" s="191"/>
      <c r="AF267" s="191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BB267" s="4"/>
      <c r="BC267" s="4"/>
      <c r="BD267" s="4"/>
      <c r="BE267" s="4"/>
      <c r="BF267" s="4"/>
      <c r="BG267" s="4"/>
      <c r="BH267" s="4"/>
      <c r="BI267" s="4"/>
    </row>
    <row r="268" spans="1:61" x14ac:dyDescent="0.2">
      <c r="A268" s="11">
        <v>173</v>
      </c>
      <c r="B268" s="11">
        <f>IF(Open[[#This Row],[PR Rang beim letzten Turnier]]&gt;Open[[#This Row],[PR Rang]],1,IF(Open[[#This Row],[PR Rang beim letzten Turnier]]=Open[[#This Row],[PR Rang]],0,-1))</f>
        <v>-1</v>
      </c>
      <c r="C268" s="147">
        <f>RANK(Open[[#This Row],[PR Punkte]],Open[PR Punkte],0)</f>
        <v>205</v>
      </c>
      <c r="D268" s="31" t="s">
        <v>173</v>
      </c>
      <c r="E268" s="9" t="s">
        <v>9</v>
      </c>
      <c r="F268" s="109">
        <f>SUM(Open[[#This Row],[PR 1]:[PR 3]])</f>
        <v>0</v>
      </c>
      <c r="G268" s="109">
        <f>LARGE(Open[[#This Row],[TS SH O 22.02.22]:[PR3]],1)</f>
        <v>0</v>
      </c>
      <c r="H268" s="109">
        <f>LARGE(Open[[#This Row],[TS SH O 22.02.22]:[PR3]],2)</f>
        <v>0</v>
      </c>
      <c r="I268" s="109">
        <f>LARGE(Open[[#This Row],[TS SH O 22.02.22]:[PR3]],3)</f>
        <v>0</v>
      </c>
      <c r="J268" s="9">
        <f>RANK(K268,$K$7:$K$295,0)</f>
        <v>205</v>
      </c>
      <c r="K268" s="109">
        <f>SUM(L268:W268)</f>
        <v>0</v>
      </c>
      <c r="L268" s="109" t="str">
        <f>IFERROR(VLOOKUP(Open[[#This Row],[TS SH 22.02.22 Rang]],$AJ$16:$AK$111,2,0)*L$5," ")</f>
        <v xml:space="preserve"> </v>
      </c>
      <c r="M268" s="109" t="str">
        <f>IFERROR(VLOOKUP(Open[[#This Row],[TS SH O 23.04.22 Rang]],$AJ$16:$AK$111,2,0)*M$5," ")</f>
        <v xml:space="preserve"> </v>
      </c>
      <c r="N268" s="109" t="str">
        <f>IFERROR(VLOOKUP(Open[[#This Row],[TS LA O 08.05.22 Rang]],$AJ$16:$AK$111,2,0)*N$5," ")</f>
        <v xml:space="preserve"> </v>
      </c>
      <c r="O268" s="109" t="str">
        <f>IFERROR(VLOOKUP(Open[[#This Row],[TS SG O 25.05.22 Rang]],$AJ$16:$AK$111,2,0)*O$5," ")</f>
        <v xml:space="preserve"> </v>
      </c>
      <c r="P268" s="109" t="str">
        <f>IFERROR(VLOOKUP(Open[[#This Row],[TS SH O 25.06.22 Rang]],$AJ$16:$AK$111,2,0)*P$5," ")</f>
        <v xml:space="preserve"> </v>
      </c>
      <c r="Q268" s="109" t="str">
        <f>IFERROR(VLOOKUP(Open[[#This Row],[TS ZH O/A 25.06.22 Rang]],$AJ$16:$AK$111,2,0)*Q$5," ")</f>
        <v xml:space="preserve"> </v>
      </c>
      <c r="R268" s="109" t="str">
        <f>IFERROR(VLOOKUP(Open[[#This Row],[TS ZH O/B 25.06.22 Rang]],$AJ$16:$AK$111,2,0)*R$5," ")</f>
        <v xml:space="preserve"> </v>
      </c>
      <c r="S268" s="109" t="str">
        <f>IFERROR(VLOOKUP(Open[[#This Row],[SM BE O/A 09.07.22 Rang]],$AJ$16:$AK$111,2,0)*S$5," ")</f>
        <v xml:space="preserve"> </v>
      </c>
      <c r="T268" s="109" t="str">
        <f>IFERROR(VLOOKUP(Open[[#This Row],[SM BE O/B 09.07.22 Rang]],$AJ$16:$AK$111,2,0)*T$5," ")</f>
        <v xml:space="preserve"> </v>
      </c>
      <c r="U268" s="11">
        <v>0</v>
      </c>
      <c r="V268" s="11">
        <v>0</v>
      </c>
      <c r="W268" s="11">
        <v>0</v>
      </c>
      <c r="X268" s="129"/>
      <c r="Y268" s="191"/>
      <c r="Z268" s="191"/>
      <c r="AA268" s="191"/>
      <c r="AB268" s="191"/>
      <c r="AC268" s="191"/>
      <c r="AD268" s="191"/>
      <c r="AE268" s="191"/>
      <c r="AF268" s="191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BB268" s="4"/>
      <c r="BC268" s="4"/>
      <c r="BD268" s="4"/>
      <c r="BE268" s="4"/>
      <c r="BF268" s="4"/>
      <c r="BG268" s="4"/>
      <c r="BH268" s="4"/>
      <c r="BI268" s="4"/>
    </row>
    <row r="269" spans="1:61" x14ac:dyDescent="0.2">
      <c r="A269" s="11">
        <v>173</v>
      </c>
      <c r="B269" s="11">
        <f>IF(Open[[#This Row],[PR Rang beim letzten Turnier]]&gt;Open[[#This Row],[PR Rang]],1,IF(Open[[#This Row],[PR Rang beim letzten Turnier]]=Open[[#This Row],[PR Rang]],0,-1))</f>
        <v>-1</v>
      </c>
      <c r="C269" s="147">
        <f>RANK(Open[[#This Row],[PR Punkte]],Open[PR Punkte],0)</f>
        <v>205</v>
      </c>
      <c r="D269" s="9" t="s">
        <v>172</v>
      </c>
      <c r="E269" s="9" t="s">
        <v>13</v>
      </c>
      <c r="F269" s="109">
        <f>SUM(Open[[#This Row],[PR 1]:[PR 3]])</f>
        <v>0</v>
      </c>
      <c r="G269" s="109">
        <f>LARGE(Open[[#This Row],[TS SH O 22.02.22]:[PR3]],1)</f>
        <v>0</v>
      </c>
      <c r="H269" s="109">
        <f>LARGE(Open[[#This Row],[TS SH O 22.02.22]:[PR3]],2)</f>
        <v>0</v>
      </c>
      <c r="I269" s="109">
        <f>LARGE(Open[[#This Row],[TS SH O 22.02.22]:[PR3]],3)</f>
        <v>0</v>
      </c>
      <c r="J269" s="9">
        <f>RANK(K269,$K$7:$K$295,0)</f>
        <v>205</v>
      </c>
      <c r="K269" s="109">
        <f>SUM(L269:W269)</f>
        <v>0</v>
      </c>
      <c r="L269" s="109" t="str">
        <f>IFERROR(VLOOKUP(Open[[#This Row],[TS SH 22.02.22 Rang]],$AJ$16:$AK$111,2,0)*L$5," ")</f>
        <v xml:space="preserve"> </v>
      </c>
      <c r="M269" s="109" t="str">
        <f>IFERROR(VLOOKUP(Open[[#This Row],[TS SH O 23.04.22 Rang]],$AJ$16:$AK$111,2,0)*M$5," ")</f>
        <v xml:space="preserve"> </v>
      </c>
      <c r="N269" s="109" t="str">
        <f>IFERROR(VLOOKUP(Open[[#This Row],[TS LA O 08.05.22 Rang]],$AJ$16:$AK$111,2,0)*N$5," ")</f>
        <v xml:space="preserve"> </v>
      </c>
      <c r="O269" s="109" t="str">
        <f>IFERROR(VLOOKUP(Open[[#This Row],[TS SG O 25.05.22 Rang]],$AJ$16:$AK$111,2,0)*O$5," ")</f>
        <v xml:space="preserve"> </v>
      </c>
      <c r="P269" s="109" t="str">
        <f>IFERROR(VLOOKUP(Open[[#This Row],[TS SH O 25.06.22 Rang]],$AJ$16:$AK$111,2,0)*P$5," ")</f>
        <v xml:space="preserve"> </v>
      </c>
      <c r="Q269" s="109" t="str">
        <f>IFERROR(VLOOKUP(Open[[#This Row],[TS ZH O/A 25.06.22 Rang]],$AJ$16:$AK$111,2,0)*Q$5," ")</f>
        <v xml:space="preserve"> </v>
      </c>
      <c r="R269" s="109" t="str">
        <f>IFERROR(VLOOKUP(Open[[#This Row],[TS ZH O/B 25.06.22 Rang]],$AJ$16:$AK$111,2,0)*R$5," ")</f>
        <v xml:space="preserve"> </v>
      </c>
      <c r="S269" s="109" t="str">
        <f>IFERROR(VLOOKUP(Open[[#This Row],[SM BE O/A 09.07.22 Rang]],$AJ$16:$AK$111,2,0)*S$5," ")</f>
        <v xml:space="preserve"> </v>
      </c>
      <c r="T269" s="109" t="str">
        <f>IFERROR(VLOOKUP(Open[[#This Row],[SM BE O/B 09.07.22 Rang]],$AJ$16:$AK$111,2,0)*T$5," ")</f>
        <v xml:space="preserve"> </v>
      </c>
      <c r="U269" s="11">
        <v>0</v>
      </c>
      <c r="V269" s="11">
        <v>0</v>
      </c>
      <c r="W269" s="11">
        <v>0</v>
      </c>
      <c r="X269" s="129"/>
      <c r="Y269" s="191"/>
      <c r="Z269" s="191"/>
      <c r="AA269" s="191"/>
      <c r="AB269" s="191"/>
      <c r="AC269" s="191"/>
      <c r="AD269" s="191"/>
      <c r="AE269" s="191"/>
      <c r="AF269" s="191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BB269" s="4"/>
      <c r="BC269" s="4"/>
      <c r="BD269" s="4"/>
      <c r="BE269" s="4"/>
      <c r="BF269" s="4"/>
      <c r="BG269" s="4"/>
      <c r="BH269" s="4"/>
      <c r="BI269" s="4"/>
    </row>
    <row r="270" spans="1:61" x14ac:dyDescent="0.2">
      <c r="A270" s="11">
        <v>173</v>
      </c>
      <c r="B270" s="11">
        <f>IF(Open[[#This Row],[PR Rang beim letzten Turnier]]&gt;Open[[#This Row],[PR Rang]],1,IF(Open[[#This Row],[PR Rang beim letzten Turnier]]=Open[[#This Row],[PR Rang]],0,-1))</f>
        <v>-1</v>
      </c>
      <c r="C270" s="147">
        <f>RANK(Open[[#This Row],[PR Punkte]],Open[PR Punkte],0)</f>
        <v>205</v>
      </c>
      <c r="D270" s="9" t="s">
        <v>195</v>
      </c>
      <c r="E270" s="9" t="s">
        <v>11</v>
      </c>
      <c r="F270" s="109">
        <f>SUM(Open[[#This Row],[PR 1]:[PR 3]])</f>
        <v>0</v>
      </c>
      <c r="G270" s="109">
        <f>LARGE(Open[[#This Row],[TS SH O 22.02.22]:[PR3]],1)</f>
        <v>0</v>
      </c>
      <c r="H270" s="109">
        <f>LARGE(Open[[#This Row],[TS SH O 22.02.22]:[PR3]],2)</f>
        <v>0</v>
      </c>
      <c r="I270" s="109">
        <f>LARGE(Open[[#This Row],[TS SH O 22.02.22]:[PR3]],3)</f>
        <v>0</v>
      </c>
      <c r="J270" s="9">
        <f>RANK(K270,$K$7:$K$295,0)</f>
        <v>205</v>
      </c>
      <c r="K270" s="109">
        <f>SUM(L270:W270)</f>
        <v>0</v>
      </c>
      <c r="L270" s="109" t="str">
        <f>IFERROR(VLOOKUP(Open[[#This Row],[TS SH 22.02.22 Rang]],$AJ$16:$AK$111,2,0)*L$5," ")</f>
        <v xml:space="preserve"> </v>
      </c>
      <c r="M270" s="109" t="str">
        <f>IFERROR(VLOOKUP(Open[[#This Row],[TS SH O 23.04.22 Rang]],$AJ$16:$AK$111,2,0)*M$5," ")</f>
        <v xml:space="preserve"> </v>
      </c>
      <c r="N270" s="109" t="str">
        <f>IFERROR(VLOOKUP(Open[[#This Row],[TS LA O 08.05.22 Rang]],$AJ$16:$AK$111,2,0)*N$5," ")</f>
        <v xml:space="preserve"> </v>
      </c>
      <c r="O270" s="109" t="str">
        <f>IFERROR(VLOOKUP(Open[[#This Row],[TS SG O 25.05.22 Rang]],$AJ$16:$AK$111,2,0)*O$5," ")</f>
        <v xml:space="preserve"> </v>
      </c>
      <c r="P270" s="109" t="str">
        <f>IFERROR(VLOOKUP(Open[[#This Row],[TS SH O 25.06.22 Rang]],$AJ$16:$AK$111,2,0)*P$5," ")</f>
        <v xml:space="preserve"> </v>
      </c>
      <c r="Q270" s="109" t="str">
        <f>IFERROR(VLOOKUP(Open[[#This Row],[TS ZH O/A 25.06.22 Rang]],$AJ$16:$AK$111,2,0)*Q$5," ")</f>
        <v xml:space="preserve"> </v>
      </c>
      <c r="R270" s="109" t="str">
        <f>IFERROR(VLOOKUP(Open[[#This Row],[TS ZH O/B 25.06.22 Rang]],$AJ$16:$AK$111,2,0)*R$5," ")</f>
        <v xml:space="preserve"> </v>
      </c>
      <c r="S270" s="109" t="str">
        <f>IFERROR(VLOOKUP(Open[[#This Row],[SM BE O/A 09.07.22 Rang]],$AJ$16:$AK$111,2,0)*S$5," ")</f>
        <v xml:space="preserve"> </v>
      </c>
      <c r="T270" s="109" t="str">
        <f>IFERROR(VLOOKUP(Open[[#This Row],[SM BE O/B 09.07.22 Rang]],$AJ$16:$AK$111,2,0)*T$5," ")</f>
        <v xml:space="preserve"> </v>
      </c>
      <c r="U270" s="11">
        <v>0</v>
      </c>
      <c r="V270" s="11">
        <v>0</v>
      </c>
      <c r="W270" s="11">
        <v>0</v>
      </c>
      <c r="X270" s="129"/>
      <c r="Y270" s="191"/>
      <c r="Z270" s="191"/>
      <c r="AA270" s="191"/>
      <c r="AB270" s="191"/>
      <c r="AC270" s="191"/>
      <c r="AD270" s="191"/>
      <c r="AE270" s="191"/>
      <c r="AF270" s="191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BB270" s="4"/>
      <c r="BC270" s="4"/>
      <c r="BD270" s="4"/>
      <c r="BE270" s="4"/>
      <c r="BF270" s="4"/>
      <c r="BG270" s="4"/>
      <c r="BH270" s="4"/>
      <c r="BI270" s="4"/>
    </row>
    <row r="271" spans="1:61" x14ac:dyDescent="0.2">
      <c r="A271" s="11">
        <v>173</v>
      </c>
      <c r="B271" s="11">
        <f>IF(Open[[#This Row],[PR Rang beim letzten Turnier]]&gt;Open[[#This Row],[PR Rang]],1,IF(Open[[#This Row],[PR Rang beim letzten Turnier]]=Open[[#This Row],[PR Rang]],0,-1))</f>
        <v>-1</v>
      </c>
      <c r="C271" s="147">
        <f>RANK(Open[[#This Row],[PR Punkte]],Open[PR Punkte],0)</f>
        <v>205</v>
      </c>
      <c r="D271" s="12" t="s">
        <v>182</v>
      </c>
      <c r="E271" s="12" t="s">
        <v>11</v>
      </c>
      <c r="F271" s="109">
        <f>SUM(Open[[#This Row],[PR 1]:[PR 3]])</f>
        <v>0</v>
      </c>
      <c r="G271" s="109">
        <f>LARGE(Open[[#This Row],[TS SH O 22.02.22]:[PR3]],1)</f>
        <v>0</v>
      </c>
      <c r="H271" s="109">
        <f>LARGE(Open[[#This Row],[TS SH O 22.02.22]:[PR3]],2)</f>
        <v>0</v>
      </c>
      <c r="I271" s="109">
        <f>LARGE(Open[[#This Row],[TS SH O 22.02.22]:[PR3]],3)</f>
        <v>0</v>
      </c>
      <c r="J271" s="86">
        <f>RANK(K271,$K$7:$K$295,0)</f>
        <v>205</v>
      </c>
      <c r="K271" s="109">
        <f>SUM(L271:W271)</f>
        <v>0</v>
      </c>
      <c r="L271" s="109" t="str">
        <f>IFERROR(VLOOKUP(Open[[#This Row],[TS SH 22.02.22 Rang]],$AJ$16:$AK$111,2,0)*L$5," ")</f>
        <v xml:space="preserve"> </v>
      </c>
      <c r="M271" s="109" t="str">
        <f>IFERROR(VLOOKUP(Open[[#This Row],[TS SH O 23.04.22 Rang]],$AJ$16:$AK$111,2,0)*M$5," ")</f>
        <v xml:space="preserve"> </v>
      </c>
      <c r="N271" s="109" t="str">
        <f>IFERROR(VLOOKUP(Open[[#This Row],[TS LA O 08.05.22 Rang]],$AJ$16:$AK$111,2,0)*N$5," ")</f>
        <v xml:space="preserve"> </v>
      </c>
      <c r="O271" s="109" t="str">
        <f>IFERROR(VLOOKUP(Open[[#This Row],[TS SG O 25.05.22 Rang]],$AJ$16:$AK$111,2,0)*O$5," ")</f>
        <v xml:space="preserve"> </v>
      </c>
      <c r="P271" s="109" t="str">
        <f>IFERROR(VLOOKUP(Open[[#This Row],[TS SH O 25.06.22 Rang]],$AJ$16:$AK$111,2,0)*P$5," ")</f>
        <v xml:space="preserve"> </v>
      </c>
      <c r="Q271" s="109" t="str">
        <f>IFERROR(VLOOKUP(Open[[#This Row],[TS ZH O/A 25.06.22 Rang]],$AJ$16:$AK$111,2,0)*Q$5," ")</f>
        <v xml:space="preserve"> </v>
      </c>
      <c r="R271" s="109" t="str">
        <f>IFERROR(VLOOKUP(Open[[#This Row],[TS ZH O/B 25.06.22 Rang]],$AJ$16:$AK$111,2,0)*R$5," ")</f>
        <v xml:space="preserve"> </v>
      </c>
      <c r="S271" s="109" t="str">
        <f>IFERROR(VLOOKUP(Open[[#This Row],[SM BE O/A 09.07.22 Rang]],$AJ$16:$AK$111,2,0)*S$5," ")</f>
        <v xml:space="preserve"> </v>
      </c>
      <c r="T271" s="109" t="str">
        <f>IFERROR(VLOOKUP(Open[[#This Row],[SM BE O/B 09.07.22 Rang]],$AJ$16:$AK$111,2,0)*T$5," ")</f>
        <v xml:space="preserve"> </v>
      </c>
      <c r="U271" s="11">
        <v>0</v>
      </c>
      <c r="V271" s="11">
        <v>0</v>
      </c>
      <c r="W271" s="11">
        <v>0</v>
      </c>
      <c r="X271" s="129"/>
      <c r="Y271" s="191"/>
      <c r="Z271" s="191"/>
      <c r="AA271" s="191"/>
      <c r="AB271" s="191"/>
      <c r="AC271" s="191"/>
      <c r="AD271" s="191"/>
      <c r="AE271" s="191"/>
      <c r="AF271" s="191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BB271" s="4"/>
      <c r="BC271" s="4"/>
      <c r="BD271" s="4"/>
      <c r="BE271" s="4"/>
      <c r="BF271" s="4"/>
      <c r="BG271" s="4"/>
      <c r="BH271" s="4"/>
      <c r="BI271" s="4"/>
    </row>
    <row r="272" spans="1:61" x14ac:dyDescent="0.2">
      <c r="A272" s="11">
        <v>173</v>
      </c>
      <c r="B272" s="11">
        <f>IF(Open[[#This Row],[PR Rang beim letzten Turnier]]&gt;Open[[#This Row],[PR Rang]],1,IF(Open[[#This Row],[PR Rang beim letzten Turnier]]=Open[[#This Row],[PR Rang]],0,-1))</f>
        <v>-1</v>
      </c>
      <c r="C272" s="147">
        <f>RANK(Open[[#This Row],[PR Punkte]],Open[PR Punkte],0)</f>
        <v>205</v>
      </c>
      <c r="D272" s="9" t="s">
        <v>176</v>
      </c>
      <c r="E272" s="9" t="s">
        <v>11</v>
      </c>
      <c r="F272" s="109">
        <f>SUM(Open[[#This Row],[PR 1]:[PR 3]])</f>
        <v>0</v>
      </c>
      <c r="G272" s="109">
        <f>LARGE(Open[[#This Row],[TS SH O 22.02.22]:[PR3]],1)</f>
        <v>0</v>
      </c>
      <c r="H272" s="109">
        <f>LARGE(Open[[#This Row],[TS SH O 22.02.22]:[PR3]],2)</f>
        <v>0</v>
      </c>
      <c r="I272" s="109">
        <f>LARGE(Open[[#This Row],[TS SH O 22.02.22]:[PR3]],3)</f>
        <v>0</v>
      </c>
      <c r="J272" s="9">
        <f>RANK(K272,$K$7:$K$295,0)</f>
        <v>205</v>
      </c>
      <c r="K272" s="109">
        <f>SUM(L272:W272)</f>
        <v>0</v>
      </c>
      <c r="L272" s="109" t="str">
        <f>IFERROR(VLOOKUP(Open[[#This Row],[TS SH 22.02.22 Rang]],$AJ$16:$AK$111,2,0)*L$5," ")</f>
        <v xml:space="preserve"> </v>
      </c>
      <c r="M272" s="109" t="str">
        <f>IFERROR(VLOOKUP(Open[[#This Row],[TS SH O 23.04.22 Rang]],$AJ$16:$AK$111,2,0)*M$5," ")</f>
        <v xml:space="preserve"> </v>
      </c>
      <c r="N272" s="109" t="str">
        <f>IFERROR(VLOOKUP(Open[[#This Row],[TS LA O 08.05.22 Rang]],$AJ$16:$AK$111,2,0)*N$5," ")</f>
        <v xml:space="preserve"> </v>
      </c>
      <c r="O272" s="109" t="str">
        <f>IFERROR(VLOOKUP(Open[[#This Row],[TS SG O 25.05.22 Rang]],$AJ$16:$AK$111,2,0)*O$5," ")</f>
        <v xml:space="preserve"> </v>
      </c>
      <c r="P272" s="109" t="str">
        <f>IFERROR(VLOOKUP(Open[[#This Row],[TS SH O 25.06.22 Rang]],$AJ$16:$AK$111,2,0)*P$5," ")</f>
        <v xml:space="preserve"> </v>
      </c>
      <c r="Q272" s="109" t="str">
        <f>IFERROR(VLOOKUP(Open[[#This Row],[TS ZH O/A 25.06.22 Rang]],$AJ$16:$AK$111,2,0)*Q$5," ")</f>
        <v xml:space="preserve"> </v>
      </c>
      <c r="R272" s="109" t="str">
        <f>IFERROR(VLOOKUP(Open[[#This Row],[TS ZH O/B 25.06.22 Rang]],$AJ$16:$AK$111,2,0)*R$5," ")</f>
        <v xml:space="preserve"> </v>
      </c>
      <c r="S272" s="109" t="str">
        <f>IFERROR(VLOOKUP(Open[[#This Row],[SM BE O/A 09.07.22 Rang]],$AJ$16:$AK$111,2,0)*S$5," ")</f>
        <v xml:space="preserve"> </v>
      </c>
      <c r="T272" s="109" t="str">
        <f>IFERROR(VLOOKUP(Open[[#This Row],[SM BE O/B 09.07.22 Rang]],$AJ$16:$AK$111,2,0)*T$5," ")</f>
        <v xml:space="preserve"> </v>
      </c>
      <c r="U272" s="11">
        <v>0</v>
      </c>
      <c r="V272" s="11">
        <v>0</v>
      </c>
      <c r="W272" s="11">
        <v>0</v>
      </c>
      <c r="X272" s="129"/>
      <c r="Y272" s="191"/>
      <c r="Z272" s="191"/>
      <c r="AA272" s="191"/>
      <c r="AB272" s="191"/>
      <c r="AC272" s="191"/>
      <c r="AD272" s="191"/>
      <c r="AE272" s="191"/>
      <c r="AF272" s="191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BB272" s="4"/>
      <c r="BC272" s="4"/>
      <c r="BD272" s="4"/>
      <c r="BE272" s="4"/>
      <c r="BF272" s="4"/>
      <c r="BG272" s="4"/>
      <c r="BH272" s="4"/>
      <c r="BI272" s="4"/>
    </row>
    <row r="273" spans="1:61" x14ac:dyDescent="0.2">
      <c r="A273" s="11">
        <v>173</v>
      </c>
      <c r="B273" s="11">
        <f>IF(Open[[#This Row],[PR Rang beim letzten Turnier]]&gt;Open[[#This Row],[PR Rang]],1,IF(Open[[#This Row],[PR Rang beim letzten Turnier]]=Open[[#This Row],[PR Rang]],0,-1))</f>
        <v>-1</v>
      </c>
      <c r="C273" s="147">
        <f>RANK(Open[[#This Row],[PR Punkte]],Open[PR Punkte],0)</f>
        <v>205</v>
      </c>
      <c r="D273" s="9" t="s">
        <v>194</v>
      </c>
      <c r="E273" s="9" t="s">
        <v>11</v>
      </c>
      <c r="F273" s="109">
        <f>SUM(Open[[#This Row],[PR 1]:[PR 3]])</f>
        <v>0</v>
      </c>
      <c r="G273" s="109">
        <f>LARGE(Open[[#This Row],[TS SH O 22.02.22]:[PR3]],1)</f>
        <v>0</v>
      </c>
      <c r="H273" s="109">
        <f>LARGE(Open[[#This Row],[TS SH O 22.02.22]:[PR3]],2)</f>
        <v>0</v>
      </c>
      <c r="I273" s="109">
        <f>LARGE(Open[[#This Row],[TS SH O 22.02.22]:[PR3]],3)</f>
        <v>0</v>
      </c>
      <c r="J273" s="9">
        <f>RANK(K273,$K$7:$K$295,0)</f>
        <v>205</v>
      </c>
      <c r="K273" s="109">
        <f>SUM(L273:W273)</f>
        <v>0</v>
      </c>
      <c r="L273" s="109" t="str">
        <f>IFERROR(VLOOKUP(Open[[#This Row],[TS SH 22.02.22 Rang]],$AJ$16:$AK$111,2,0)*L$5," ")</f>
        <v xml:space="preserve"> </v>
      </c>
      <c r="M273" s="109" t="str">
        <f>IFERROR(VLOOKUP(Open[[#This Row],[TS SH O 23.04.22 Rang]],$AJ$16:$AK$111,2,0)*M$5," ")</f>
        <v xml:space="preserve"> </v>
      </c>
      <c r="N273" s="109" t="str">
        <f>IFERROR(VLOOKUP(Open[[#This Row],[TS LA O 08.05.22 Rang]],$AJ$16:$AK$111,2,0)*N$5," ")</f>
        <v xml:space="preserve"> </v>
      </c>
      <c r="O273" s="109" t="str">
        <f>IFERROR(VLOOKUP(Open[[#This Row],[TS SG O 25.05.22 Rang]],$AJ$16:$AK$111,2,0)*O$5," ")</f>
        <v xml:space="preserve"> </v>
      </c>
      <c r="P273" s="109" t="str">
        <f>IFERROR(VLOOKUP(Open[[#This Row],[TS SH O 25.06.22 Rang]],$AJ$16:$AK$111,2,0)*P$5," ")</f>
        <v xml:space="preserve"> </v>
      </c>
      <c r="Q273" s="109" t="str">
        <f>IFERROR(VLOOKUP(Open[[#This Row],[TS ZH O/A 25.06.22 Rang]],$AJ$16:$AK$111,2,0)*Q$5," ")</f>
        <v xml:space="preserve"> </v>
      </c>
      <c r="R273" s="109" t="str">
        <f>IFERROR(VLOOKUP(Open[[#This Row],[TS ZH O/B 25.06.22 Rang]],$AJ$16:$AK$111,2,0)*R$5," ")</f>
        <v xml:space="preserve"> </v>
      </c>
      <c r="S273" s="109" t="str">
        <f>IFERROR(VLOOKUP(Open[[#This Row],[SM BE O/A 09.07.22 Rang]],$AJ$16:$AK$111,2,0)*S$5," ")</f>
        <v xml:space="preserve"> </v>
      </c>
      <c r="T273" s="109" t="str">
        <f>IFERROR(VLOOKUP(Open[[#This Row],[SM BE O/B 09.07.22 Rang]],$AJ$16:$AK$111,2,0)*T$5," ")</f>
        <v xml:space="preserve"> </v>
      </c>
      <c r="U273" s="11">
        <v>0</v>
      </c>
      <c r="V273" s="11">
        <v>0</v>
      </c>
      <c r="W273" s="11">
        <v>0</v>
      </c>
      <c r="X273" s="129"/>
      <c r="Y273" s="191"/>
      <c r="Z273" s="191"/>
      <c r="AA273" s="191"/>
      <c r="AB273" s="191"/>
      <c r="AC273" s="191"/>
      <c r="AD273" s="191"/>
      <c r="AE273" s="191"/>
      <c r="AF273" s="191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BB273" s="4"/>
      <c r="BC273" s="4"/>
      <c r="BD273" s="4"/>
      <c r="BE273" s="4"/>
      <c r="BF273" s="4"/>
      <c r="BG273" s="4"/>
      <c r="BH273" s="4"/>
      <c r="BI273" s="4"/>
    </row>
    <row r="274" spans="1:61" x14ac:dyDescent="0.2">
      <c r="A274" s="11">
        <v>173</v>
      </c>
      <c r="B274" s="11">
        <f>IF(Open[[#This Row],[PR Rang beim letzten Turnier]]&gt;Open[[#This Row],[PR Rang]],1,IF(Open[[#This Row],[PR Rang beim letzten Turnier]]=Open[[#This Row],[PR Rang]],0,-1))</f>
        <v>-1</v>
      </c>
      <c r="C274" s="147">
        <f>RANK(Open[[#This Row],[PR Punkte]],Open[PR Punkte],0)</f>
        <v>205</v>
      </c>
      <c r="D274" s="9" t="s">
        <v>158</v>
      </c>
      <c r="E274" s="9" t="s">
        <v>0</v>
      </c>
      <c r="F274" s="109">
        <f>SUM(Open[[#This Row],[PR 1]:[PR 3]])</f>
        <v>0</v>
      </c>
      <c r="G274" s="109">
        <f>LARGE(Open[[#This Row],[TS SH O 22.02.22]:[PR3]],1)</f>
        <v>0</v>
      </c>
      <c r="H274" s="109">
        <f>LARGE(Open[[#This Row],[TS SH O 22.02.22]:[PR3]],2)</f>
        <v>0</v>
      </c>
      <c r="I274" s="109">
        <f>LARGE(Open[[#This Row],[TS SH O 22.02.22]:[PR3]],3)</f>
        <v>0</v>
      </c>
      <c r="J274" s="9">
        <f>RANK(K274,$K$7:$K$295,0)</f>
        <v>205</v>
      </c>
      <c r="K274" s="109">
        <f>SUM(L274:W274)</f>
        <v>0</v>
      </c>
      <c r="L274" s="109" t="str">
        <f>IFERROR(VLOOKUP(Open[[#This Row],[TS SH 22.02.22 Rang]],$AJ$16:$AK$111,2,0)*L$5," ")</f>
        <v xml:space="preserve"> </v>
      </c>
      <c r="M274" s="109" t="str">
        <f>IFERROR(VLOOKUP(Open[[#This Row],[TS SH O 23.04.22 Rang]],$AJ$16:$AK$111,2,0)*M$5," ")</f>
        <v xml:space="preserve"> </v>
      </c>
      <c r="N274" s="109" t="str">
        <f>IFERROR(VLOOKUP(Open[[#This Row],[TS LA O 08.05.22 Rang]],$AJ$16:$AK$111,2,0)*N$5," ")</f>
        <v xml:space="preserve"> </v>
      </c>
      <c r="O274" s="109" t="str">
        <f>IFERROR(VLOOKUP(Open[[#This Row],[TS SG O 25.05.22 Rang]],$AJ$16:$AK$111,2,0)*O$5," ")</f>
        <v xml:space="preserve"> </v>
      </c>
      <c r="P274" s="109" t="str">
        <f>IFERROR(VLOOKUP(Open[[#This Row],[TS SH O 25.06.22 Rang]],$AJ$16:$AK$111,2,0)*P$5," ")</f>
        <v xml:space="preserve"> </v>
      </c>
      <c r="Q274" s="109" t="str">
        <f>IFERROR(VLOOKUP(Open[[#This Row],[TS ZH O/A 25.06.22 Rang]],$AJ$16:$AK$111,2,0)*Q$5," ")</f>
        <v xml:space="preserve"> </v>
      </c>
      <c r="R274" s="109" t="str">
        <f>IFERROR(VLOOKUP(Open[[#This Row],[TS ZH O/B 25.06.22 Rang]],$AJ$16:$AK$111,2,0)*R$5," ")</f>
        <v xml:space="preserve"> </v>
      </c>
      <c r="S274" s="109" t="str">
        <f>IFERROR(VLOOKUP(Open[[#This Row],[SM BE O/A 09.07.22 Rang]],$AJ$16:$AK$111,2,0)*S$5," ")</f>
        <v xml:space="preserve"> </v>
      </c>
      <c r="T274" s="109" t="str">
        <f>IFERROR(VLOOKUP(Open[[#This Row],[SM BE O/B 09.07.22 Rang]],$AJ$16:$AK$111,2,0)*T$5," ")</f>
        <v xml:space="preserve"> </v>
      </c>
      <c r="U274" s="11">
        <v>0</v>
      </c>
      <c r="V274" s="11">
        <v>0</v>
      </c>
      <c r="W274" s="11">
        <v>0</v>
      </c>
      <c r="X274" s="129"/>
      <c r="Y274" s="191"/>
      <c r="Z274" s="191"/>
      <c r="AA274" s="191"/>
      <c r="AB274" s="191"/>
      <c r="AC274" s="191"/>
      <c r="AD274" s="191"/>
      <c r="AE274" s="191"/>
      <c r="AF274" s="191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BB274" s="4"/>
      <c r="BC274" s="4"/>
      <c r="BD274" s="4"/>
      <c r="BE274" s="4"/>
      <c r="BF274" s="4"/>
      <c r="BG274" s="4"/>
      <c r="BH274" s="4"/>
      <c r="BI274" s="4"/>
    </row>
    <row r="275" spans="1:61" x14ac:dyDescent="0.2">
      <c r="A275" s="11">
        <v>173</v>
      </c>
      <c r="B275" s="11">
        <f>IF(Open[[#This Row],[PR Rang beim letzten Turnier]]&gt;Open[[#This Row],[PR Rang]],1,IF(Open[[#This Row],[PR Rang beim letzten Turnier]]=Open[[#This Row],[PR Rang]],0,-1))</f>
        <v>-1</v>
      </c>
      <c r="C275" s="147">
        <f>RANK(Open[[#This Row],[PR Punkte]],Open[PR Punkte],0)</f>
        <v>205</v>
      </c>
      <c r="D275" s="15" t="s">
        <v>382</v>
      </c>
      <c r="E275" s="31" t="s">
        <v>10</v>
      </c>
      <c r="F275" s="109">
        <f>SUM(Open[[#This Row],[PR 1]:[PR 3]])</f>
        <v>0</v>
      </c>
      <c r="G275" s="109">
        <f>LARGE(Open[[#This Row],[TS SH O 22.02.22]:[PR3]],1)</f>
        <v>0</v>
      </c>
      <c r="H275" s="109">
        <f>LARGE(Open[[#This Row],[TS SH O 22.02.22]:[PR3]],2)</f>
        <v>0</v>
      </c>
      <c r="I275" s="109">
        <f>LARGE(Open[[#This Row],[TS SH O 22.02.22]:[PR3]],3)</f>
        <v>0</v>
      </c>
      <c r="J275" s="31">
        <f>RANK(K275,$K$7:$K$295,0)</f>
        <v>205</v>
      </c>
      <c r="K275" s="109">
        <f>SUM(L275:W275)</f>
        <v>0</v>
      </c>
      <c r="L275" s="109" t="str">
        <f>IFERROR(VLOOKUP(Open[[#This Row],[TS SH 22.02.22 Rang]],$AJ$16:$AK$111,2,0)*L$5," ")</f>
        <v xml:space="preserve"> </v>
      </c>
      <c r="M275" s="109" t="str">
        <f>IFERROR(VLOOKUP(Open[[#This Row],[TS SH O 23.04.22 Rang]],$AJ$16:$AK$111,2,0)*M$5," ")</f>
        <v xml:space="preserve"> </v>
      </c>
      <c r="N275" s="109" t="str">
        <f>IFERROR(VLOOKUP(Open[[#This Row],[TS LA O 08.05.22 Rang]],$AJ$16:$AK$111,2,0)*N$5," ")</f>
        <v xml:space="preserve"> </v>
      </c>
      <c r="O275" s="109" t="str">
        <f>IFERROR(VLOOKUP(Open[[#This Row],[TS SG O 25.05.22 Rang]],$AJ$16:$AK$111,2,0)*O$5," ")</f>
        <v xml:space="preserve"> </v>
      </c>
      <c r="P275" s="109" t="str">
        <f>IFERROR(VLOOKUP(Open[[#This Row],[TS SH O 25.06.22 Rang]],$AJ$16:$AK$111,2,0)*P$5," ")</f>
        <v xml:space="preserve"> </v>
      </c>
      <c r="Q275" s="109" t="str">
        <f>IFERROR(VLOOKUP(Open[[#This Row],[TS ZH O/A 25.06.22 Rang]],$AJ$16:$AK$111,2,0)*Q$5," ")</f>
        <v xml:space="preserve"> </v>
      </c>
      <c r="R275" s="109" t="str">
        <f>IFERROR(VLOOKUP(Open[[#This Row],[TS ZH O/B 25.06.22 Rang]],$AJ$16:$AK$111,2,0)*R$5," ")</f>
        <v xml:space="preserve"> </v>
      </c>
      <c r="S275" s="109" t="str">
        <f>IFERROR(VLOOKUP(Open[[#This Row],[SM BE O/A 09.07.22 Rang]],$AJ$16:$AK$111,2,0)*S$5," ")</f>
        <v xml:space="preserve"> </v>
      </c>
      <c r="T275" s="109" t="str">
        <f>IFERROR(VLOOKUP(Open[[#This Row],[SM BE O/B 09.07.22 Rang]],$AJ$16:$AK$111,2,0)*T$5," ")</f>
        <v xml:space="preserve"> </v>
      </c>
      <c r="U275" s="11">
        <v>0</v>
      </c>
      <c r="V275" s="11">
        <v>0</v>
      </c>
      <c r="W275" s="11">
        <v>0</v>
      </c>
      <c r="X275" s="129"/>
      <c r="Y275" s="191"/>
      <c r="Z275" s="191"/>
      <c r="AA275" s="191"/>
      <c r="AB275" s="191"/>
      <c r="AC275" s="191"/>
      <c r="AD275" s="191"/>
      <c r="AE275" s="191"/>
      <c r="AF275" s="191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BB275" s="4"/>
      <c r="BC275" s="4"/>
      <c r="BD275" s="4"/>
      <c r="BE275" s="4"/>
      <c r="BF275" s="4"/>
      <c r="BG275" s="4"/>
      <c r="BH275" s="4"/>
      <c r="BI275" s="4"/>
    </row>
    <row r="276" spans="1:61" x14ac:dyDescent="0.2">
      <c r="A276" s="11">
        <v>173</v>
      </c>
      <c r="B276" s="11">
        <f>IF(Open[[#This Row],[PR Rang beim letzten Turnier]]&gt;Open[[#This Row],[PR Rang]],1,IF(Open[[#This Row],[PR Rang beim letzten Turnier]]=Open[[#This Row],[PR Rang]],0,-1))</f>
        <v>-1</v>
      </c>
      <c r="C276" s="147">
        <f>RANK(Open[[#This Row],[PR Punkte]],Open[PR Punkte],0)</f>
        <v>205</v>
      </c>
      <c r="D276" s="15" t="s">
        <v>383</v>
      </c>
      <c r="E276" s="31" t="s">
        <v>10</v>
      </c>
      <c r="F276" s="109">
        <f>SUM(Open[[#This Row],[PR 1]:[PR 3]])</f>
        <v>0</v>
      </c>
      <c r="G276" s="109">
        <f>LARGE(Open[[#This Row],[TS SH O 22.02.22]:[PR3]],1)</f>
        <v>0</v>
      </c>
      <c r="H276" s="109">
        <f>LARGE(Open[[#This Row],[TS SH O 22.02.22]:[PR3]],2)</f>
        <v>0</v>
      </c>
      <c r="I276" s="109">
        <f>LARGE(Open[[#This Row],[TS SH O 22.02.22]:[PR3]],3)</f>
        <v>0</v>
      </c>
      <c r="J276" s="31">
        <f>RANK(K276,$K$7:$K$295,0)</f>
        <v>205</v>
      </c>
      <c r="K276" s="109">
        <f>SUM(L276:W276)</f>
        <v>0</v>
      </c>
      <c r="L276" s="109" t="str">
        <f>IFERROR(VLOOKUP(Open[[#This Row],[TS SH 22.02.22 Rang]],$AJ$16:$AK$111,2,0)*L$5," ")</f>
        <v xml:space="preserve"> </v>
      </c>
      <c r="M276" s="109" t="str">
        <f>IFERROR(VLOOKUP(Open[[#This Row],[TS SH O 23.04.22 Rang]],$AJ$16:$AK$111,2,0)*M$5," ")</f>
        <v xml:space="preserve"> </v>
      </c>
      <c r="N276" s="109" t="str">
        <f>IFERROR(VLOOKUP(Open[[#This Row],[TS LA O 08.05.22 Rang]],$AJ$16:$AK$111,2,0)*N$5," ")</f>
        <v xml:space="preserve"> </v>
      </c>
      <c r="O276" s="109" t="str">
        <f>IFERROR(VLOOKUP(Open[[#This Row],[TS SG O 25.05.22 Rang]],$AJ$16:$AK$111,2,0)*O$5," ")</f>
        <v xml:space="preserve"> </v>
      </c>
      <c r="P276" s="109" t="str">
        <f>IFERROR(VLOOKUP(Open[[#This Row],[TS SH O 25.06.22 Rang]],$AJ$16:$AK$111,2,0)*P$5," ")</f>
        <v xml:space="preserve"> </v>
      </c>
      <c r="Q276" s="109" t="str">
        <f>IFERROR(VLOOKUP(Open[[#This Row],[TS ZH O/A 25.06.22 Rang]],$AJ$16:$AK$111,2,0)*Q$5," ")</f>
        <v xml:space="preserve"> </v>
      </c>
      <c r="R276" s="109" t="str">
        <f>IFERROR(VLOOKUP(Open[[#This Row],[TS ZH O/B 25.06.22 Rang]],$AJ$16:$AK$111,2,0)*R$5," ")</f>
        <v xml:space="preserve"> </v>
      </c>
      <c r="S276" s="109" t="str">
        <f>IFERROR(VLOOKUP(Open[[#This Row],[SM BE O/A 09.07.22 Rang]],$AJ$16:$AK$111,2,0)*S$5," ")</f>
        <v xml:space="preserve"> </v>
      </c>
      <c r="T276" s="109" t="str">
        <f>IFERROR(VLOOKUP(Open[[#This Row],[SM BE O/B 09.07.22 Rang]],$AJ$16:$AK$111,2,0)*T$5," ")</f>
        <v xml:space="preserve"> </v>
      </c>
      <c r="U276" s="11">
        <v>0</v>
      </c>
      <c r="V276" s="11">
        <v>0</v>
      </c>
      <c r="W276" s="11">
        <v>0</v>
      </c>
      <c r="X276" s="129"/>
      <c r="Y276" s="191"/>
      <c r="Z276" s="191"/>
      <c r="AA276" s="191"/>
      <c r="AB276" s="191"/>
      <c r="AC276" s="191"/>
      <c r="AD276" s="191"/>
      <c r="AE276" s="191"/>
      <c r="AF276" s="191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BB276" s="4"/>
      <c r="BC276" s="4"/>
      <c r="BD276" s="4"/>
      <c r="BE276" s="4"/>
      <c r="BF276" s="4"/>
      <c r="BG276" s="4"/>
      <c r="BH276" s="4"/>
      <c r="BI276" s="4"/>
    </row>
    <row r="277" spans="1:61" x14ac:dyDescent="0.2">
      <c r="A277" s="11">
        <v>173</v>
      </c>
      <c r="B277" s="11">
        <f>IF(Open[[#This Row],[PR Rang beim letzten Turnier]]&gt;Open[[#This Row],[PR Rang]],1,IF(Open[[#This Row],[PR Rang beim letzten Turnier]]=Open[[#This Row],[PR Rang]],0,-1))</f>
        <v>-1</v>
      </c>
      <c r="C277" s="147">
        <f>RANK(Open[[#This Row],[PR Punkte]],Open[PR Punkte],0)</f>
        <v>205</v>
      </c>
      <c r="D277" s="15" t="s">
        <v>381</v>
      </c>
      <c r="E277" s="31" t="s">
        <v>380</v>
      </c>
      <c r="F277" s="109">
        <f>SUM(Open[[#This Row],[PR 1]:[PR 3]])</f>
        <v>0</v>
      </c>
      <c r="G277" s="109">
        <f>LARGE(Open[[#This Row],[TS SH O 22.02.22]:[PR3]],1)</f>
        <v>0</v>
      </c>
      <c r="H277" s="109">
        <f>LARGE(Open[[#This Row],[TS SH O 22.02.22]:[PR3]],2)</f>
        <v>0</v>
      </c>
      <c r="I277" s="109">
        <f>LARGE(Open[[#This Row],[TS SH O 22.02.22]:[PR3]],3)</f>
        <v>0</v>
      </c>
      <c r="J277" s="31">
        <f>RANK(K277,$K$7:$K$295,0)</f>
        <v>205</v>
      </c>
      <c r="K277" s="109">
        <f>SUM(L277:W277)</f>
        <v>0</v>
      </c>
      <c r="L277" s="109" t="str">
        <f>IFERROR(VLOOKUP(Open[[#This Row],[TS SH 22.02.22 Rang]],$AJ$16:$AK$111,2,0)*L$5," ")</f>
        <v xml:space="preserve"> </v>
      </c>
      <c r="M277" s="109" t="str">
        <f>IFERROR(VLOOKUP(Open[[#This Row],[TS SH O 23.04.22 Rang]],$AJ$16:$AK$111,2,0)*M$5," ")</f>
        <v xml:space="preserve"> </v>
      </c>
      <c r="N277" s="109" t="str">
        <f>IFERROR(VLOOKUP(Open[[#This Row],[TS LA O 08.05.22 Rang]],$AJ$16:$AK$111,2,0)*N$5," ")</f>
        <v xml:space="preserve"> </v>
      </c>
      <c r="O277" s="109" t="str">
        <f>IFERROR(VLOOKUP(Open[[#This Row],[TS SG O 25.05.22 Rang]],$AJ$16:$AK$111,2,0)*O$5," ")</f>
        <v xml:space="preserve"> </v>
      </c>
      <c r="P277" s="109" t="str">
        <f>IFERROR(VLOOKUP(Open[[#This Row],[TS SH O 25.06.22 Rang]],$AJ$16:$AK$111,2,0)*P$5," ")</f>
        <v xml:space="preserve"> </v>
      </c>
      <c r="Q277" s="109" t="str">
        <f>IFERROR(VLOOKUP(Open[[#This Row],[TS ZH O/A 25.06.22 Rang]],$AJ$16:$AK$111,2,0)*Q$5," ")</f>
        <v xml:space="preserve"> </v>
      </c>
      <c r="R277" s="109" t="str">
        <f>IFERROR(VLOOKUP(Open[[#This Row],[TS ZH O/B 25.06.22 Rang]],$AJ$16:$AK$111,2,0)*R$5," ")</f>
        <v xml:space="preserve"> </v>
      </c>
      <c r="S277" s="109" t="str">
        <f>IFERROR(VLOOKUP(Open[[#This Row],[SM BE O/A 09.07.22 Rang]],$AJ$16:$AK$111,2,0)*S$5," ")</f>
        <v xml:space="preserve"> </v>
      </c>
      <c r="T277" s="109" t="str">
        <f>IFERROR(VLOOKUP(Open[[#This Row],[SM BE O/B 09.07.22 Rang]],$AJ$16:$AK$111,2,0)*T$5," ")</f>
        <v xml:space="preserve"> </v>
      </c>
      <c r="U277" s="11">
        <v>0</v>
      </c>
      <c r="V277" s="11">
        <v>0</v>
      </c>
      <c r="W277" s="11">
        <v>0</v>
      </c>
      <c r="X277" s="129"/>
      <c r="Y277" s="191"/>
      <c r="Z277" s="191"/>
      <c r="AA277" s="191"/>
      <c r="AB277" s="191"/>
      <c r="AC277" s="191"/>
      <c r="AD277" s="191"/>
      <c r="AE277" s="191"/>
      <c r="AF277" s="191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BB277" s="4"/>
      <c r="BC277" s="4"/>
      <c r="BD277" s="4"/>
      <c r="BE277" s="4"/>
      <c r="BF277" s="4"/>
      <c r="BG277" s="4"/>
      <c r="BH277" s="4"/>
      <c r="BI277" s="4"/>
    </row>
    <row r="278" spans="1:61" x14ac:dyDescent="0.2">
      <c r="A278" s="11">
        <v>173</v>
      </c>
      <c r="B278" s="11">
        <f>IF(Open[[#This Row],[PR Rang beim letzten Turnier]]&gt;Open[[#This Row],[PR Rang]],1,IF(Open[[#This Row],[PR Rang beim letzten Turnier]]=Open[[#This Row],[PR Rang]],0,-1))</f>
        <v>-1</v>
      </c>
      <c r="C278" s="147">
        <f>RANK(Open[[#This Row],[PR Punkte]],Open[PR Punkte],0)</f>
        <v>205</v>
      </c>
      <c r="D278" s="15" t="s">
        <v>378</v>
      </c>
      <c r="E278" s="31" t="s">
        <v>10</v>
      </c>
      <c r="F278" s="109">
        <f>SUM(Open[[#This Row],[PR 1]:[PR 3]])</f>
        <v>0</v>
      </c>
      <c r="G278" s="109">
        <f>LARGE(Open[[#This Row],[TS SH O 22.02.22]:[PR3]],1)</f>
        <v>0</v>
      </c>
      <c r="H278" s="109">
        <f>LARGE(Open[[#This Row],[TS SH O 22.02.22]:[PR3]],2)</f>
        <v>0</v>
      </c>
      <c r="I278" s="109">
        <f>LARGE(Open[[#This Row],[TS SH O 22.02.22]:[PR3]],3)</f>
        <v>0</v>
      </c>
      <c r="J278" s="31">
        <f>RANK(K278,$K$7:$K$295,0)</f>
        <v>205</v>
      </c>
      <c r="K278" s="109">
        <f>SUM(L278:W278)</f>
        <v>0</v>
      </c>
      <c r="L278" s="109" t="str">
        <f>IFERROR(VLOOKUP(Open[[#This Row],[TS SH 22.02.22 Rang]],$AJ$16:$AK$111,2,0)*L$5," ")</f>
        <v xml:space="preserve"> </v>
      </c>
      <c r="M278" s="109" t="str">
        <f>IFERROR(VLOOKUP(Open[[#This Row],[TS SH O 23.04.22 Rang]],$AJ$16:$AK$111,2,0)*M$5," ")</f>
        <v xml:space="preserve"> </v>
      </c>
      <c r="N278" s="109" t="str">
        <f>IFERROR(VLOOKUP(Open[[#This Row],[TS LA O 08.05.22 Rang]],$AJ$16:$AK$111,2,0)*N$5," ")</f>
        <v xml:space="preserve"> </v>
      </c>
      <c r="O278" s="109" t="str">
        <f>IFERROR(VLOOKUP(Open[[#This Row],[TS SG O 25.05.22 Rang]],$AJ$16:$AK$111,2,0)*O$5," ")</f>
        <v xml:space="preserve"> </v>
      </c>
      <c r="P278" s="109" t="str">
        <f>IFERROR(VLOOKUP(Open[[#This Row],[TS SH O 25.06.22 Rang]],$AJ$16:$AK$111,2,0)*P$5," ")</f>
        <v xml:space="preserve"> </v>
      </c>
      <c r="Q278" s="109" t="str">
        <f>IFERROR(VLOOKUP(Open[[#This Row],[TS ZH O/A 25.06.22 Rang]],$AJ$16:$AK$111,2,0)*Q$5," ")</f>
        <v xml:space="preserve"> </v>
      </c>
      <c r="R278" s="109" t="str">
        <f>IFERROR(VLOOKUP(Open[[#This Row],[TS ZH O/B 25.06.22 Rang]],$AJ$16:$AK$111,2,0)*R$5," ")</f>
        <v xml:space="preserve"> </v>
      </c>
      <c r="S278" s="109" t="str">
        <f>IFERROR(VLOOKUP(Open[[#This Row],[SM BE O/A 09.07.22 Rang]],$AJ$16:$AK$111,2,0)*S$5," ")</f>
        <v xml:space="preserve"> </v>
      </c>
      <c r="T278" s="109" t="str">
        <f>IFERROR(VLOOKUP(Open[[#This Row],[SM BE O/B 09.07.22 Rang]],$AJ$16:$AK$111,2,0)*T$5," ")</f>
        <v xml:space="preserve"> </v>
      </c>
      <c r="U278" s="11">
        <v>0</v>
      </c>
      <c r="V278" s="11">
        <v>0</v>
      </c>
      <c r="W278" s="11">
        <v>0</v>
      </c>
      <c r="X278" s="129"/>
      <c r="Y278" s="191"/>
      <c r="Z278" s="191"/>
      <c r="AA278" s="191"/>
      <c r="AB278" s="191"/>
      <c r="AC278" s="191"/>
      <c r="AD278" s="191"/>
      <c r="AE278" s="191"/>
      <c r="AF278" s="191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BB278" s="4"/>
      <c r="BC278" s="4"/>
      <c r="BD278" s="4"/>
      <c r="BE278" s="4"/>
      <c r="BF278" s="4"/>
      <c r="BG278" s="4"/>
      <c r="BH278" s="4"/>
      <c r="BI278" s="4"/>
    </row>
    <row r="279" spans="1:61" x14ac:dyDescent="0.2">
      <c r="A279" s="11">
        <v>173</v>
      </c>
      <c r="B279" s="11">
        <f>IF(Open[[#This Row],[PR Rang beim letzten Turnier]]&gt;Open[[#This Row],[PR Rang]],1,IF(Open[[#This Row],[PR Rang beim letzten Turnier]]=Open[[#This Row],[PR Rang]],0,-1))</f>
        <v>-1</v>
      </c>
      <c r="C279" s="147">
        <f>RANK(Open[[#This Row],[PR Punkte]],Open[PR Punkte],0)</f>
        <v>205</v>
      </c>
      <c r="D279" s="15" t="s">
        <v>384</v>
      </c>
      <c r="E279" s="31" t="s">
        <v>10</v>
      </c>
      <c r="F279" s="109">
        <f>SUM(Open[[#This Row],[PR 1]:[PR 3]])</f>
        <v>0</v>
      </c>
      <c r="G279" s="109">
        <f>LARGE(Open[[#This Row],[TS SH O 22.02.22]:[PR3]],1)</f>
        <v>0</v>
      </c>
      <c r="H279" s="109">
        <f>LARGE(Open[[#This Row],[TS SH O 22.02.22]:[PR3]],2)</f>
        <v>0</v>
      </c>
      <c r="I279" s="109">
        <f>LARGE(Open[[#This Row],[TS SH O 22.02.22]:[PR3]],3)</f>
        <v>0</v>
      </c>
      <c r="J279" s="31">
        <f>RANK(K279,$K$7:$K$295,0)</f>
        <v>205</v>
      </c>
      <c r="K279" s="109">
        <f>SUM(L279:W279)</f>
        <v>0</v>
      </c>
      <c r="L279" s="109" t="str">
        <f>IFERROR(VLOOKUP(Open[[#This Row],[TS SH 22.02.22 Rang]],$AJ$16:$AK$111,2,0)*L$5," ")</f>
        <v xml:space="preserve"> </v>
      </c>
      <c r="M279" s="109" t="str">
        <f>IFERROR(VLOOKUP(Open[[#This Row],[TS SH O 23.04.22 Rang]],$AJ$16:$AK$111,2,0)*M$5," ")</f>
        <v xml:space="preserve"> </v>
      </c>
      <c r="N279" s="109" t="str">
        <f>IFERROR(VLOOKUP(Open[[#This Row],[TS LA O 08.05.22 Rang]],$AJ$16:$AK$111,2,0)*N$5," ")</f>
        <v xml:space="preserve"> </v>
      </c>
      <c r="O279" s="109" t="str">
        <f>IFERROR(VLOOKUP(Open[[#This Row],[TS SG O 25.05.22 Rang]],$AJ$16:$AK$111,2,0)*O$5," ")</f>
        <v xml:space="preserve"> </v>
      </c>
      <c r="P279" s="109" t="str">
        <f>IFERROR(VLOOKUP(Open[[#This Row],[TS SH O 25.06.22 Rang]],$AJ$16:$AK$111,2,0)*P$5," ")</f>
        <v xml:space="preserve"> </v>
      </c>
      <c r="Q279" s="109" t="str">
        <f>IFERROR(VLOOKUP(Open[[#This Row],[TS ZH O/A 25.06.22 Rang]],$AJ$16:$AK$111,2,0)*Q$5," ")</f>
        <v xml:space="preserve"> </v>
      </c>
      <c r="R279" s="109" t="str">
        <f>IFERROR(VLOOKUP(Open[[#This Row],[TS ZH O/B 25.06.22 Rang]],$AJ$16:$AK$111,2,0)*R$5," ")</f>
        <v xml:space="preserve"> </v>
      </c>
      <c r="S279" s="109" t="str">
        <f>IFERROR(VLOOKUP(Open[[#This Row],[SM BE O/A 09.07.22 Rang]],$AJ$16:$AK$111,2,0)*S$5," ")</f>
        <v xml:space="preserve"> </v>
      </c>
      <c r="T279" s="109" t="str">
        <f>IFERROR(VLOOKUP(Open[[#This Row],[SM BE O/B 09.07.22 Rang]],$AJ$16:$AK$111,2,0)*T$5," ")</f>
        <v xml:space="preserve"> </v>
      </c>
      <c r="U279" s="11">
        <v>0</v>
      </c>
      <c r="V279" s="11">
        <v>0</v>
      </c>
      <c r="W279" s="11">
        <v>0</v>
      </c>
      <c r="X279" s="129"/>
      <c r="Y279" s="191"/>
      <c r="Z279" s="191"/>
      <c r="AA279" s="191"/>
      <c r="AB279" s="191"/>
      <c r="AC279" s="191"/>
      <c r="AD279" s="191"/>
      <c r="AE279" s="191"/>
      <c r="AF279" s="191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BB279" s="4"/>
      <c r="BC279" s="4"/>
      <c r="BD279" s="4"/>
      <c r="BE279" s="4"/>
      <c r="BF279" s="4"/>
      <c r="BG279" s="4"/>
      <c r="BH279" s="4"/>
      <c r="BI279" s="4"/>
    </row>
    <row r="280" spans="1:61" x14ac:dyDescent="0.2">
      <c r="A280" s="11">
        <v>173</v>
      </c>
      <c r="B280" s="11">
        <f>IF(Open[[#This Row],[PR Rang beim letzten Turnier]]&gt;Open[[#This Row],[PR Rang]],1,IF(Open[[#This Row],[PR Rang beim letzten Turnier]]=Open[[#This Row],[PR Rang]],0,-1))</f>
        <v>-1</v>
      </c>
      <c r="C280" s="147">
        <f>RANK(Open[[#This Row],[PR Punkte]],Open[PR Punkte],0)</f>
        <v>205</v>
      </c>
      <c r="D280" s="25" t="s">
        <v>339</v>
      </c>
      <c r="E280" s="160" t="s">
        <v>11</v>
      </c>
      <c r="F280" s="109">
        <f>SUM(Open[[#This Row],[PR 1]:[PR 3]])</f>
        <v>0</v>
      </c>
      <c r="G280" s="109">
        <f>LARGE(Open[[#This Row],[TS SH O 22.02.22]:[PR3]],1)</f>
        <v>0</v>
      </c>
      <c r="H280" s="109">
        <f>LARGE(Open[[#This Row],[TS SH O 22.02.22]:[PR3]],2)</f>
        <v>0</v>
      </c>
      <c r="I280" s="109">
        <f>LARGE(Open[[#This Row],[TS SH O 22.02.22]:[PR3]],3)</f>
        <v>0</v>
      </c>
      <c r="J280" s="160">
        <f>RANK(K280,$K$7:$K$295,0)</f>
        <v>205</v>
      </c>
      <c r="K280" s="109">
        <f>SUM(L280:W280)</f>
        <v>0</v>
      </c>
      <c r="L280" s="109" t="str">
        <f>IFERROR(VLOOKUP(Open[[#This Row],[TS SH 22.02.22 Rang]],$AJ$16:$AK$111,2,0)*L$5," ")</f>
        <v xml:space="preserve"> </v>
      </c>
      <c r="M280" s="109" t="str">
        <f>IFERROR(VLOOKUP(Open[[#This Row],[TS SH O 23.04.22 Rang]],$AJ$16:$AK$111,2,0)*M$5," ")</f>
        <v xml:space="preserve"> </v>
      </c>
      <c r="N280" s="109" t="str">
        <f>IFERROR(VLOOKUP(Open[[#This Row],[TS LA O 08.05.22 Rang]],$AJ$16:$AK$111,2,0)*N$5," ")</f>
        <v xml:space="preserve"> </v>
      </c>
      <c r="O280" s="109" t="str">
        <f>IFERROR(VLOOKUP(Open[[#This Row],[TS SG O 25.05.22 Rang]],$AJ$16:$AK$111,2,0)*O$5," ")</f>
        <v xml:space="preserve"> </v>
      </c>
      <c r="P280" s="109" t="str">
        <f>IFERROR(VLOOKUP(Open[[#This Row],[TS SH O 25.06.22 Rang]],$AJ$16:$AK$111,2,0)*P$5," ")</f>
        <v xml:space="preserve"> </v>
      </c>
      <c r="Q280" s="109" t="str">
        <f>IFERROR(VLOOKUP(Open[[#This Row],[TS ZH O/A 25.06.22 Rang]],$AJ$16:$AK$111,2,0)*Q$5," ")</f>
        <v xml:space="preserve"> </v>
      </c>
      <c r="R280" s="109" t="str">
        <f>IFERROR(VLOOKUP(Open[[#This Row],[TS ZH O/B 25.06.22 Rang]],$AJ$16:$AK$111,2,0)*R$5," ")</f>
        <v xml:space="preserve"> </v>
      </c>
      <c r="S280" s="109" t="str">
        <f>IFERROR(VLOOKUP(Open[[#This Row],[SM BE O/A 09.07.22 Rang]],$AJ$16:$AK$111,2,0)*S$5," ")</f>
        <v xml:space="preserve"> </v>
      </c>
      <c r="T280" s="109" t="str">
        <f>IFERROR(VLOOKUP(Open[[#This Row],[SM BE O/B 09.07.22 Rang]],$AJ$16:$AK$111,2,0)*T$5," ")</f>
        <v xml:space="preserve"> </v>
      </c>
      <c r="U280" s="11">
        <v>0</v>
      </c>
      <c r="V280" s="11">
        <v>0</v>
      </c>
      <c r="W280" s="11">
        <v>0</v>
      </c>
      <c r="X280" s="129"/>
      <c r="Y280" s="191"/>
      <c r="Z280" s="191"/>
      <c r="AA280" s="191"/>
      <c r="AB280" s="191"/>
      <c r="AC280" s="191"/>
      <c r="AD280" s="191"/>
      <c r="AE280" s="191"/>
      <c r="AF280" s="191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BB280" s="4"/>
      <c r="BC280" s="4"/>
      <c r="BD280" s="4"/>
      <c r="BE280" s="4"/>
      <c r="BF280" s="4"/>
      <c r="BG280" s="4"/>
      <c r="BH280" s="4"/>
      <c r="BI280" s="4"/>
    </row>
    <row r="281" spans="1:61" x14ac:dyDescent="0.2">
      <c r="A281" s="11">
        <v>173</v>
      </c>
      <c r="B281" s="11">
        <f>IF(Open[[#This Row],[PR Rang beim letzten Turnier]]&gt;Open[[#This Row],[PR Rang]],1,IF(Open[[#This Row],[PR Rang beim letzten Turnier]]=Open[[#This Row],[PR Rang]],0,-1))</f>
        <v>-1</v>
      </c>
      <c r="C281" s="147">
        <f>RANK(Open[[#This Row],[PR Punkte]],Open[PR Punkte],0)</f>
        <v>205</v>
      </c>
      <c r="D281" s="25" t="s">
        <v>341</v>
      </c>
      <c r="E281" s="17" t="s">
        <v>11</v>
      </c>
      <c r="F281" s="109">
        <f>SUM(Open[[#This Row],[PR 1]:[PR 3]])</f>
        <v>0</v>
      </c>
      <c r="G281" s="109">
        <f>LARGE(Open[[#This Row],[TS SH O 22.02.22]:[PR3]],1)</f>
        <v>0</v>
      </c>
      <c r="H281" s="109">
        <f>LARGE(Open[[#This Row],[TS SH O 22.02.22]:[PR3]],2)</f>
        <v>0</v>
      </c>
      <c r="I281" s="109">
        <f>LARGE(Open[[#This Row],[TS SH O 22.02.22]:[PR3]],3)</f>
        <v>0</v>
      </c>
      <c r="J281" s="17">
        <f>RANK(K281,$K$7:$K$295,0)</f>
        <v>205</v>
      </c>
      <c r="K281" s="109">
        <f>SUM(L281:W281)</f>
        <v>0</v>
      </c>
      <c r="L281" s="109" t="str">
        <f>IFERROR(VLOOKUP(Open[[#This Row],[TS SH 22.02.22 Rang]],$AJ$16:$AK$111,2,0)*L$5," ")</f>
        <v xml:space="preserve"> </v>
      </c>
      <c r="M281" s="109" t="str">
        <f>IFERROR(VLOOKUP(Open[[#This Row],[TS SH O 23.04.22 Rang]],$AJ$16:$AK$111,2,0)*M$5," ")</f>
        <v xml:space="preserve"> </v>
      </c>
      <c r="N281" s="109" t="str">
        <f>IFERROR(VLOOKUP(Open[[#This Row],[TS LA O 08.05.22 Rang]],$AJ$16:$AK$111,2,0)*N$5," ")</f>
        <v xml:space="preserve"> </v>
      </c>
      <c r="O281" s="109" t="str">
        <f>IFERROR(VLOOKUP(Open[[#This Row],[TS SG O 25.05.22 Rang]],$AJ$16:$AK$111,2,0)*O$5," ")</f>
        <v xml:space="preserve"> </v>
      </c>
      <c r="P281" s="109" t="str">
        <f>IFERROR(VLOOKUP(Open[[#This Row],[TS SH O 25.06.22 Rang]],$AJ$16:$AK$111,2,0)*P$5," ")</f>
        <v xml:space="preserve"> </v>
      </c>
      <c r="Q281" s="109" t="str">
        <f>IFERROR(VLOOKUP(Open[[#This Row],[TS ZH O/A 25.06.22 Rang]],$AJ$16:$AK$111,2,0)*Q$5," ")</f>
        <v xml:space="preserve"> </v>
      </c>
      <c r="R281" s="109" t="str">
        <f>IFERROR(VLOOKUP(Open[[#This Row],[TS ZH O/B 25.06.22 Rang]],$AJ$16:$AK$111,2,0)*R$5," ")</f>
        <v xml:space="preserve"> </v>
      </c>
      <c r="S281" s="109" t="str">
        <f>IFERROR(VLOOKUP(Open[[#This Row],[SM BE O/A 09.07.22 Rang]],$AJ$16:$AK$111,2,0)*S$5," ")</f>
        <v xml:space="preserve"> </v>
      </c>
      <c r="T281" s="109" t="str">
        <f>IFERROR(VLOOKUP(Open[[#This Row],[SM BE O/B 09.07.22 Rang]],$AJ$16:$AK$111,2,0)*T$5," ")</f>
        <v xml:space="preserve"> </v>
      </c>
      <c r="U281" s="11">
        <v>0</v>
      </c>
      <c r="V281" s="11">
        <v>0</v>
      </c>
      <c r="W281" s="11">
        <v>0</v>
      </c>
      <c r="X281" s="129"/>
      <c r="Y281" s="191"/>
      <c r="Z281" s="191"/>
      <c r="AA281" s="191"/>
      <c r="AB281" s="191"/>
      <c r="AC281" s="191"/>
      <c r="AD281" s="191"/>
      <c r="AE281" s="191"/>
      <c r="AF281" s="191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BB281" s="4"/>
      <c r="BC281" s="4"/>
      <c r="BD281" s="4"/>
      <c r="BE281" s="4"/>
      <c r="BF281" s="4"/>
      <c r="BG281" s="4"/>
      <c r="BH281" s="4"/>
      <c r="BI281" s="4"/>
    </row>
    <row r="282" spans="1:61" x14ac:dyDescent="0.2">
      <c r="A282" s="11">
        <v>173</v>
      </c>
      <c r="B282" s="11">
        <f>IF(Open[[#This Row],[PR Rang beim letzten Turnier]]&gt;Open[[#This Row],[PR Rang]],1,IF(Open[[#This Row],[PR Rang beim letzten Turnier]]=Open[[#This Row],[PR Rang]],0,-1))</f>
        <v>-1</v>
      </c>
      <c r="C282" s="147">
        <f>RANK(Open[[#This Row],[PR Punkte]],Open[PR Punkte],0)</f>
        <v>205</v>
      </c>
      <c r="D282" s="25" t="s">
        <v>336</v>
      </c>
      <c r="E282" s="160" t="s">
        <v>11</v>
      </c>
      <c r="F282" s="109">
        <f>SUM(Open[[#This Row],[PR 1]:[PR 3]])</f>
        <v>0</v>
      </c>
      <c r="G282" s="109">
        <f>LARGE(Open[[#This Row],[TS SH O 22.02.22]:[PR3]],1)</f>
        <v>0</v>
      </c>
      <c r="H282" s="109">
        <f>LARGE(Open[[#This Row],[TS SH O 22.02.22]:[PR3]],2)</f>
        <v>0</v>
      </c>
      <c r="I282" s="109">
        <f>LARGE(Open[[#This Row],[TS SH O 22.02.22]:[PR3]],3)</f>
        <v>0</v>
      </c>
      <c r="J282" s="160">
        <f>RANK(K282,$K$7:$K$295,0)</f>
        <v>205</v>
      </c>
      <c r="K282" s="109">
        <f>SUM(L282:W282)</f>
        <v>0</v>
      </c>
      <c r="L282" s="109" t="str">
        <f>IFERROR(VLOOKUP(Open[[#This Row],[TS SH 22.02.22 Rang]],$AJ$16:$AK$111,2,0)*L$5," ")</f>
        <v xml:space="preserve"> </v>
      </c>
      <c r="M282" s="109" t="str">
        <f>IFERROR(VLOOKUP(Open[[#This Row],[TS SH O 23.04.22 Rang]],$AJ$16:$AK$111,2,0)*M$5," ")</f>
        <v xml:space="preserve"> </v>
      </c>
      <c r="N282" s="109" t="str">
        <f>IFERROR(VLOOKUP(Open[[#This Row],[TS LA O 08.05.22 Rang]],$AJ$16:$AK$111,2,0)*N$5," ")</f>
        <v xml:space="preserve"> </v>
      </c>
      <c r="O282" s="109" t="str">
        <f>IFERROR(VLOOKUP(Open[[#This Row],[TS SG O 25.05.22 Rang]],$AJ$16:$AK$111,2,0)*O$5," ")</f>
        <v xml:space="preserve"> </v>
      </c>
      <c r="P282" s="109" t="str">
        <f>IFERROR(VLOOKUP(Open[[#This Row],[TS SH O 25.06.22 Rang]],$AJ$16:$AK$111,2,0)*P$5," ")</f>
        <v xml:space="preserve"> </v>
      </c>
      <c r="Q282" s="109" t="str">
        <f>IFERROR(VLOOKUP(Open[[#This Row],[TS ZH O/A 25.06.22 Rang]],$AJ$16:$AK$111,2,0)*Q$5," ")</f>
        <v xml:space="preserve"> </v>
      </c>
      <c r="R282" s="109" t="str">
        <f>IFERROR(VLOOKUP(Open[[#This Row],[TS ZH O/B 25.06.22 Rang]],$AJ$16:$AK$111,2,0)*R$5," ")</f>
        <v xml:space="preserve"> </v>
      </c>
      <c r="S282" s="109" t="str">
        <f>IFERROR(VLOOKUP(Open[[#This Row],[SM BE O/A 09.07.22 Rang]],$AJ$16:$AK$111,2,0)*S$5," ")</f>
        <v xml:space="preserve"> </v>
      </c>
      <c r="T282" s="109" t="str">
        <f>IFERROR(VLOOKUP(Open[[#This Row],[SM BE O/B 09.07.22 Rang]],$AJ$16:$AK$111,2,0)*T$5," ")</f>
        <v xml:space="preserve"> </v>
      </c>
      <c r="U282" s="11">
        <v>0</v>
      </c>
      <c r="V282" s="11">
        <v>0</v>
      </c>
      <c r="W282" s="11">
        <v>0</v>
      </c>
      <c r="X282" s="129"/>
      <c r="Y282" s="191"/>
      <c r="Z282" s="191"/>
      <c r="AA282" s="191"/>
      <c r="AB282" s="191"/>
      <c r="AC282" s="191"/>
      <c r="AD282" s="191"/>
      <c r="AE282" s="191"/>
      <c r="AF282" s="191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BB282" s="4"/>
      <c r="BC282" s="4"/>
      <c r="BD282" s="4"/>
      <c r="BE282" s="4"/>
      <c r="BF282" s="4"/>
      <c r="BG282" s="4"/>
      <c r="BH282" s="4"/>
      <c r="BI282" s="4"/>
    </row>
    <row r="283" spans="1:61" x14ac:dyDescent="0.2">
      <c r="A283" s="11">
        <v>173</v>
      </c>
      <c r="B283" s="11">
        <f>IF(Open[[#This Row],[PR Rang beim letzten Turnier]]&gt;Open[[#This Row],[PR Rang]],1,IF(Open[[#This Row],[PR Rang beim letzten Turnier]]=Open[[#This Row],[PR Rang]],0,-1))</f>
        <v>-1</v>
      </c>
      <c r="C283" s="147">
        <f>RANK(Open[[#This Row],[PR Punkte]],Open[PR Punkte],0)</f>
        <v>205</v>
      </c>
      <c r="D283" s="25" t="s">
        <v>343</v>
      </c>
      <c r="E283" s="160" t="s">
        <v>11</v>
      </c>
      <c r="F283" s="109">
        <f>SUM(Open[[#This Row],[PR 1]:[PR 3]])</f>
        <v>0</v>
      </c>
      <c r="G283" s="109">
        <f>LARGE(Open[[#This Row],[TS SH O 22.02.22]:[PR3]],1)</f>
        <v>0</v>
      </c>
      <c r="H283" s="109">
        <f>LARGE(Open[[#This Row],[TS SH O 22.02.22]:[PR3]],2)</f>
        <v>0</v>
      </c>
      <c r="I283" s="109">
        <f>LARGE(Open[[#This Row],[TS SH O 22.02.22]:[PR3]],3)</f>
        <v>0</v>
      </c>
      <c r="J283" s="160">
        <f>RANK(K283,$K$7:$K$295,0)</f>
        <v>205</v>
      </c>
      <c r="K283" s="109">
        <f>SUM(L283:W283)</f>
        <v>0</v>
      </c>
      <c r="L283" s="109" t="str">
        <f>IFERROR(VLOOKUP(Open[[#This Row],[TS SH 22.02.22 Rang]],$AJ$16:$AK$111,2,0)*L$5," ")</f>
        <v xml:space="preserve"> </v>
      </c>
      <c r="M283" s="109" t="str">
        <f>IFERROR(VLOOKUP(Open[[#This Row],[TS SH O 23.04.22 Rang]],$AJ$16:$AK$111,2,0)*M$5," ")</f>
        <v xml:space="preserve"> </v>
      </c>
      <c r="N283" s="109" t="str">
        <f>IFERROR(VLOOKUP(Open[[#This Row],[TS LA O 08.05.22 Rang]],$AJ$16:$AK$111,2,0)*N$5," ")</f>
        <v xml:space="preserve"> </v>
      </c>
      <c r="O283" s="109" t="str">
        <f>IFERROR(VLOOKUP(Open[[#This Row],[TS SG O 25.05.22 Rang]],$AJ$16:$AK$111,2,0)*O$5," ")</f>
        <v xml:space="preserve"> </v>
      </c>
      <c r="P283" s="109" t="str">
        <f>IFERROR(VLOOKUP(Open[[#This Row],[TS SH O 25.06.22 Rang]],$AJ$16:$AK$111,2,0)*P$5," ")</f>
        <v xml:space="preserve"> </v>
      </c>
      <c r="Q283" s="109" t="str">
        <f>IFERROR(VLOOKUP(Open[[#This Row],[TS ZH O/A 25.06.22 Rang]],$AJ$16:$AK$111,2,0)*Q$5," ")</f>
        <v xml:space="preserve"> </v>
      </c>
      <c r="R283" s="109" t="str">
        <f>IFERROR(VLOOKUP(Open[[#This Row],[TS ZH O/B 25.06.22 Rang]],$AJ$16:$AK$111,2,0)*R$5," ")</f>
        <v xml:space="preserve"> </v>
      </c>
      <c r="S283" s="109" t="str">
        <f>IFERROR(VLOOKUP(Open[[#This Row],[SM BE O/A 09.07.22 Rang]],$AJ$16:$AK$111,2,0)*S$5," ")</f>
        <v xml:space="preserve"> </v>
      </c>
      <c r="T283" s="109" t="str">
        <f>IFERROR(VLOOKUP(Open[[#This Row],[SM BE O/B 09.07.22 Rang]],$AJ$16:$AK$111,2,0)*T$5," ")</f>
        <v xml:space="preserve"> </v>
      </c>
      <c r="U283" s="11">
        <v>0</v>
      </c>
      <c r="V283" s="11">
        <v>0</v>
      </c>
      <c r="W283" s="11">
        <v>0</v>
      </c>
      <c r="X283" s="129"/>
      <c r="Y283" s="191"/>
      <c r="Z283" s="191"/>
      <c r="AA283" s="191"/>
      <c r="AB283" s="191"/>
      <c r="AC283" s="191"/>
      <c r="AD283" s="191"/>
      <c r="AE283" s="191"/>
      <c r="AF283" s="191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BB283" s="4"/>
      <c r="BC283" s="4"/>
      <c r="BD283" s="4"/>
      <c r="BE283" s="4"/>
      <c r="BF283" s="4"/>
      <c r="BG283" s="4"/>
      <c r="BH283" s="4"/>
      <c r="BI283" s="4"/>
    </row>
    <row r="284" spans="1:61" x14ac:dyDescent="0.2">
      <c r="A284" s="11">
        <v>173</v>
      </c>
      <c r="B284" s="11">
        <f>IF(Open[[#This Row],[PR Rang beim letzten Turnier]]&gt;Open[[#This Row],[PR Rang]],1,IF(Open[[#This Row],[PR Rang beim letzten Turnier]]=Open[[#This Row],[PR Rang]],0,-1))</f>
        <v>-1</v>
      </c>
      <c r="C284" s="147">
        <f>RANK(Open[[#This Row],[PR Punkte]],Open[PR Punkte],0)</f>
        <v>205</v>
      </c>
      <c r="D284" s="25" t="s">
        <v>344</v>
      </c>
      <c r="E284" s="160" t="s">
        <v>11</v>
      </c>
      <c r="F284" s="109">
        <f>SUM(Open[[#This Row],[PR 1]:[PR 3]])</f>
        <v>0</v>
      </c>
      <c r="G284" s="109">
        <f>LARGE(Open[[#This Row],[TS SH O 22.02.22]:[PR3]],1)</f>
        <v>0</v>
      </c>
      <c r="H284" s="109">
        <f>LARGE(Open[[#This Row],[TS SH O 22.02.22]:[PR3]],2)</f>
        <v>0</v>
      </c>
      <c r="I284" s="109">
        <f>LARGE(Open[[#This Row],[TS SH O 22.02.22]:[PR3]],3)</f>
        <v>0</v>
      </c>
      <c r="J284" s="160">
        <f>RANK(K284,$K$7:$K$295,0)</f>
        <v>205</v>
      </c>
      <c r="K284" s="109">
        <f>SUM(L284:W284)</f>
        <v>0</v>
      </c>
      <c r="L284" s="109" t="str">
        <f>IFERROR(VLOOKUP(Open[[#This Row],[TS SH 22.02.22 Rang]],$AJ$16:$AK$111,2,0)*L$5," ")</f>
        <v xml:space="preserve"> </v>
      </c>
      <c r="M284" s="109" t="str">
        <f>IFERROR(VLOOKUP(Open[[#This Row],[TS SH O 23.04.22 Rang]],$AJ$16:$AK$111,2,0)*M$5," ")</f>
        <v xml:space="preserve"> </v>
      </c>
      <c r="N284" s="109" t="str">
        <f>IFERROR(VLOOKUP(Open[[#This Row],[TS LA O 08.05.22 Rang]],$AJ$16:$AK$111,2,0)*N$5," ")</f>
        <v xml:space="preserve"> </v>
      </c>
      <c r="O284" s="109" t="str">
        <f>IFERROR(VLOOKUP(Open[[#This Row],[TS SG O 25.05.22 Rang]],$AJ$16:$AK$111,2,0)*O$5," ")</f>
        <v xml:space="preserve"> </v>
      </c>
      <c r="P284" s="109" t="str">
        <f>IFERROR(VLOOKUP(Open[[#This Row],[TS SH O 25.06.22 Rang]],$AJ$16:$AK$111,2,0)*P$5," ")</f>
        <v xml:space="preserve"> </v>
      </c>
      <c r="Q284" s="109" t="str">
        <f>IFERROR(VLOOKUP(Open[[#This Row],[TS ZH O/A 25.06.22 Rang]],$AJ$16:$AK$111,2,0)*Q$5," ")</f>
        <v xml:space="preserve"> </v>
      </c>
      <c r="R284" s="109" t="str">
        <f>IFERROR(VLOOKUP(Open[[#This Row],[TS ZH O/B 25.06.22 Rang]],$AJ$16:$AK$111,2,0)*R$5," ")</f>
        <v xml:space="preserve"> </v>
      </c>
      <c r="S284" s="109" t="str">
        <f>IFERROR(VLOOKUP(Open[[#This Row],[SM BE O/A 09.07.22 Rang]],$AJ$16:$AK$111,2,0)*S$5," ")</f>
        <v xml:space="preserve"> </v>
      </c>
      <c r="T284" s="109" t="str">
        <f>IFERROR(VLOOKUP(Open[[#This Row],[SM BE O/B 09.07.22 Rang]],$AJ$16:$AK$111,2,0)*T$5," ")</f>
        <v xml:space="preserve"> </v>
      </c>
      <c r="U284" s="11">
        <v>0</v>
      </c>
      <c r="V284" s="11">
        <v>0</v>
      </c>
      <c r="W284" s="11">
        <v>0</v>
      </c>
      <c r="X284" s="129"/>
      <c r="Y284" s="191"/>
      <c r="Z284" s="191"/>
      <c r="AA284" s="191"/>
      <c r="AB284" s="191"/>
      <c r="AC284" s="191"/>
      <c r="AD284" s="191"/>
      <c r="AE284" s="191"/>
      <c r="AF284" s="191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BB284" s="4"/>
      <c r="BC284" s="4"/>
      <c r="BD284" s="4"/>
      <c r="BE284" s="4"/>
      <c r="BF284" s="4"/>
      <c r="BG284" s="4"/>
      <c r="BH284" s="4"/>
      <c r="BI284" s="4"/>
    </row>
    <row r="285" spans="1:61" x14ac:dyDescent="0.2">
      <c r="A285" s="11">
        <v>173</v>
      </c>
      <c r="B285" s="11">
        <f>IF(Open[[#This Row],[PR Rang beim letzten Turnier]]&gt;Open[[#This Row],[PR Rang]],1,IF(Open[[#This Row],[PR Rang beim letzten Turnier]]=Open[[#This Row],[PR Rang]],0,-1))</f>
        <v>-1</v>
      </c>
      <c r="C285" s="147">
        <f>RANK(Open[[#This Row],[PR Punkte]],Open[PR Punkte],0)</f>
        <v>205</v>
      </c>
      <c r="D285" s="25" t="s">
        <v>340</v>
      </c>
      <c r="E285" s="160" t="s">
        <v>11</v>
      </c>
      <c r="F285" s="109">
        <f>SUM(Open[[#This Row],[PR 1]:[PR 3]])</f>
        <v>0</v>
      </c>
      <c r="G285" s="109">
        <f>LARGE(Open[[#This Row],[TS SH O 22.02.22]:[PR3]],1)</f>
        <v>0</v>
      </c>
      <c r="H285" s="109">
        <f>LARGE(Open[[#This Row],[TS SH O 22.02.22]:[PR3]],2)</f>
        <v>0</v>
      </c>
      <c r="I285" s="109">
        <f>LARGE(Open[[#This Row],[TS SH O 22.02.22]:[PR3]],3)</f>
        <v>0</v>
      </c>
      <c r="J285" s="160">
        <f>RANK(K285,$K$7:$K$295,0)</f>
        <v>205</v>
      </c>
      <c r="K285" s="109">
        <f>SUM(L285:W285)</f>
        <v>0</v>
      </c>
      <c r="L285" s="109" t="str">
        <f>IFERROR(VLOOKUP(Open[[#This Row],[TS SH 22.02.22 Rang]],$AJ$16:$AK$111,2,0)*L$5," ")</f>
        <v xml:space="preserve"> </v>
      </c>
      <c r="M285" s="109" t="str">
        <f>IFERROR(VLOOKUP(Open[[#This Row],[TS SH O 23.04.22 Rang]],$AJ$16:$AK$111,2,0)*M$5," ")</f>
        <v xml:space="preserve"> </v>
      </c>
      <c r="N285" s="109" t="str">
        <f>IFERROR(VLOOKUP(Open[[#This Row],[TS LA O 08.05.22 Rang]],$AJ$16:$AK$111,2,0)*N$5," ")</f>
        <v xml:space="preserve"> </v>
      </c>
      <c r="O285" s="109" t="str">
        <f>IFERROR(VLOOKUP(Open[[#This Row],[TS SG O 25.05.22 Rang]],$AJ$16:$AK$111,2,0)*O$5," ")</f>
        <v xml:space="preserve"> </v>
      </c>
      <c r="P285" s="109" t="str">
        <f>IFERROR(VLOOKUP(Open[[#This Row],[TS SH O 25.06.22 Rang]],$AJ$16:$AK$111,2,0)*P$5," ")</f>
        <v xml:space="preserve"> </v>
      </c>
      <c r="Q285" s="109" t="str">
        <f>IFERROR(VLOOKUP(Open[[#This Row],[TS ZH O/A 25.06.22 Rang]],$AJ$16:$AK$111,2,0)*Q$5," ")</f>
        <v xml:space="preserve"> </v>
      </c>
      <c r="R285" s="109" t="str">
        <f>IFERROR(VLOOKUP(Open[[#This Row],[TS ZH O/B 25.06.22 Rang]],$AJ$16:$AK$111,2,0)*R$5," ")</f>
        <v xml:space="preserve"> </v>
      </c>
      <c r="S285" s="109" t="str">
        <f>IFERROR(VLOOKUP(Open[[#This Row],[SM BE O/A 09.07.22 Rang]],$AJ$16:$AK$111,2,0)*S$5," ")</f>
        <v xml:space="preserve"> </v>
      </c>
      <c r="T285" s="109" t="str">
        <f>IFERROR(VLOOKUP(Open[[#This Row],[SM BE O/B 09.07.22 Rang]],$AJ$16:$AK$111,2,0)*T$5," ")</f>
        <v xml:space="preserve"> </v>
      </c>
      <c r="U285" s="11">
        <v>0</v>
      </c>
      <c r="V285" s="11">
        <v>0</v>
      </c>
      <c r="W285" s="11">
        <v>0</v>
      </c>
      <c r="X285" s="129"/>
      <c r="Y285" s="191"/>
      <c r="Z285" s="191"/>
      <c r="AA285" s="191"/>
      <c r="AB285" s="191"/>
      <c r="AC285" s="191"/>
      <c r="AD285" s="191"/>
      <c r="AE285" s="191"/>
      <c r="AF285" s="191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BB285" s="4"/>
      <c r="BC285" s="4"/>
      <c r="BD285" s="4"/>
      <c r="BE285" s="4"/>
      <c r="BF285" s="4"/>
      <c r="BG285" s="4"/>
      <c r="BH285" s="4"/>
      <c r="BI285" s="4"/>
    </row>
    <row r="286" spans="1:61" x14ac:dyDescent="0.2">
      <c r="A286" s="11">
        <v>173</v>
      </c>
      <c r="B286" s="11">
        <f>IF(Open[[#This Row],[PR Rang beim letzten Turnier]]&gt;Open[[#This Row],[PR Rang]],1,IF(Open[[#This Row],[PR Rang beim letzten Turnier]]=Open[[#This Row],[PR Rang]],0,-1))</f>
        <v>-1</v>
      </c>
      <c r="C286" s="147">
        <f>RANK(Open[[#This Row],[PR Punkte]],Open[PR Punkte],0)</f>
        <v>205</v>
      </c>
      <c r="D286" s="25" t="s">
        <v>338</v>
      </c>
      <c r="E286" s="160" t="s">
        <v>8</v>
      </c>
      <c r="F286" s="109">
        <f>SUM(Open[[#This Row],[PR 1]:[PR 3]])</f>
        <v>0</v>
      </c>
      <c r="G286" s="109">
        <f>LARGE(Open[[#This Row],[TS SH O 22.02.22]:[PR3]],1)</f>
        <v>0</v>
      </c>
      <c r="H286" s="109">
        <f>LARGE(Open[[#This Row],[TS SH O 22.02.22]:[PR3]],2)</f>
        <v>0</v>
      </c>
      <c r="I286" s="109">
        <f>LARGE(Open[[#This Row],[TS SH O 22.02.22]:[PR3]],3)</f>
        <v>0</v>
      </c>
      <c r="J286" s="160">
        <f>RANK(K286,$K$7:$K$295,0)</f>
        <v>205</v>
      </c>
      <c r="K286" s="109">
        <f>SUM(L286:W286)</f>
        <v>0</v>
      </c>
      <c r="L286" s="109" t="str">
        <f>IFERROR(VLOOKUP(Open[[#This Row],[TS SH 22.02.22 Rang]],$AJ$16:$AK$111,2,0)*L$5," ")</f>
        <v xml:space="preserve"> </v>
      </c>
      <c r="M286" s="109" t="str">
        <f>IFERROR(VLOOKUP(Open[[#This Row],[TS SH O 23.04.22 Rang]],$AJ$16:$AK$111,2,0)*M$5," ")</f>
        <v xml:space="preserve"> </v>
      </c>
      <c r="N286" s="109" t="str">
        <f>IFERROR(VLOOKUP(Open[[#This Row],[TS LA O 08.05.22 Rang]],$AJ$16:$AK$111,2,0)*N$5," ")</f>
        <v xml:space="preserve"> </v>
      </c>
      <c r="O286" s="109" t="str">
        <f>IFERROR(VLOOKUP(Open[[#This Row],[TS SG O 25.05.22 Rang]],$AJ$16:$AK$111,2,0)*O$5," ")</f>
        <v xml:space="preserve"> </v>
      </c>
      <c r="P286" s="109" t="str">
        <f>IFERROR(VLOOKUP(Open[[#This Row],[TS SH O 25.06.22 Rang]],$AJ$16:$AK$111,2,0)*P$5," ")</f>
        <v xml:space="preserve"> </v>
      </c>
      <c r="Q286" s="109" t="str">
        <f>IFERROR(VLOOKUP(Open[[#This Row],[TS ZH O/A 25.06.22 Rang]],$AJ$16:$AK$111,2,0)*Q$5," ")</f>
        <v xml:space="preserve"> </v>
      </c>
      <c r="R286" s="109" t="str">
        <f>IFERROR(VLOOKUP(Open[[#This Row],[TS ZH O/B 25.06.22 Rang]],$AJ$16:$AK$111,2,0)*R$5," ")</f>
        <v xml:space="preserve"> </v>
      </c>
      <c r="S286" s="109" t="str">
        <f>IFERROR(VLOOKUP(Open[[#This Row],[SM BE O/A 09.07.22 Rang]],$AJ$16:$AK$111,2,0)*S$5," ")</f>
        <v xml:space="preserve"> </v>
      </c>
      <c r="T286" s="109" t="str">
        <f>IFERROR(VLOOKUP(Open[[#This Row],[SM BE O/B 09.07.22 Rang]],$AJ$16:$AK$111,2,0)*T$5," ")</f>
        <v xml:space="preserve"> </v>
      </c>
      <c r="U286" s="11">
        <v>0</v>
      </c>
      <c r="V286" s="11">
        <v>0</v>
      </c>
      <c r="W286" s="11">
        <v>0</v>
      </c>
      <c r="X286" s="129"/>
      <c r="Y286" s="191"/>
      <c r="Z286" s="191"/>
      <c r="AA286" s="191"/>
      <c r="AB286" s="191"/>
      <c r="AC286" s="191"/>
      <c r="AD286" s="191"/>
      <c r="AE286" s="191"/>
      <c r="AF286" s="191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BB286" s="4"/>
      <c r="BC286" s="4"/>
      <c r="BD286" s="4"/>
      <c r="BE286" s="4"/>
      <c r="BF286" s="4"/>
      <c r="BG286" s="4"/>
      <c r="BH286" s="4"/>
      <c r="BI286" s="4"/>
    </row>
    <row r="287" spans="1:61" x14ac:dyDescent="0.2">
      <c r="A287" s="86">
        <v>173</v>
      </c>
      <c r="B287" s="11">
        <f>IF(Open[[#This Row],[PR Rang beim letzten Turnier]]&gt;Open[[#This Row],[PR Rang]],1,IF(Open[[#This Row],[PR Rang beim letzten Turnier]]=Open[[#This Row],[PR Rang]],0,-1))</f>
        <v>-1</v>
      </c>
      <c r="C287" s="194">
        <f>RANK(Open[[#This Row],[PR Punkte]],Open[PR Punkte],0)</f>
        <v>205</v>
      </c>
      <c r="D287" s="9" t="s">
        <v>556</v>
      </c>
      <c r="E287" s="11" t="s">
        <v>11</v>
      </c>
      <c r="F287" s="195">
        <f>SUM(Open[[#This Row],[PR 1]:[PR 3]])</f>
        <v>0</v>
      </c>
      <c r="G287" s="109">
        <f>LARGE(Open[[#This Row],[TS SH O 22.02.22]:[PR3]],1)</f>
        <v>0</v>
      </c>
      <c r="H287" s="109">
        <f>LARGE(Open[[#This Row],[TS SH O 22.02.22]:[PR3]],2)</f>
        <v>0</v>
      </c>
      <c r="I287" s="109">
        <f>LARGE(Open[[#This Row],[TS SH O 22.02.22]:[PR3]],3)</f>
        <v>0</v>
      </c>
      <c r="J287" s="196">
        <f>RANK(K287,$K$7:$K$361,0)</f>
        <v>205</v>
      </c>
      <c r="K287" s="109">
        <f>SUM(L287:W287)</f>
        <v>0</v>
      </c>
      <c r="L287" s="109"/>
      <c r="M287" s="109" t="str">
        <f>IFERROR(VLOOKUP(Open[[#This Row],[TS SH O 23.04.22 Rang]],$AJ$16:$AK$111,2,0)*M$5," ")</f>
        <v xml:space="preserve"> </v>
      </c>
      <c r="N287" s="109" t="str">
        <f>IFERROR(VLOOKUP(Open[[#This Row],[TS LA O 08.05.22 Rang]],$AJ$16:$AK$111,2,0)*N$5," ")</f>
        <v xml:space="preserve"> </v>
      </c>
      <c r="O287" s="109" t="str">
        <f>IFERROR(VLOOKUP(Open[[#This Row],[TS SG O 25.05.22 Rang]],$AJ$16:$AK$111,2,0)*O$5," ")</f>
        <v xml:space="preserve"> </v>
      </c>
      <c r="P287" s="109" t="str">
        <f>IFERROR(VLOOKUP(Open[[#This Row],[TS SH O 25.06.22 Rang]],$AJ$16:$AK$111,2,0)*P$5," ")</f>
        <v xml:space="preserve"> </v>
      </c>
      <c r="Q287" s="109" t="str">
        <f>IFERROR(VLOOKUP(Open[[#This Row],[TS ZH O/A 25.06.22 Rang]],$AJ$16:$AK$111,2,0)*Q$5," ")</f>
        <v xml:space="preserve"> </v>
      </c>
      <c r="R287" s="109" t="str">
        <f>IFERROR(VLOOKUP(Open[[#This Row],[TS ZH O/B 25.06.22 Rang]],$AJ$16:$AK$111,2,0)*R$5," ")</f>
        <v xml:space="preserve"> </v>
      </c>
      <c r="S287" s="109" t="str">
        <f>IFERROR(VLOOKUP(Open[[#This Row],[SM BE O/A 09.07.22 Rang]],$AJ$16:$AK$111,2,0)*S$5," ")</f>
        <v xml:space="preserve"> </v>
      </c>
      <c r="T287" s="109" t="str">
        <f>IFERROR(VLOOKUP(Open[[#This Row],[SM BE O/B 09.07.22 Rang]],$AJ$16:$AK$111,2,0)*T$5," ")</f>
        <v xml:space="preserve"> </v>
      </c>
      <c r="U287" s="11">
        <v>0</v>
      </c>
      <c r="V287" s="11">
        <v>0</v>
      </c>
      <c r="W287" s="11">
        <v>0</v>
      </c>
      <c r="X287" s="129"/>
      <c r="Y287" s="191"/>
      <c r="Z287" s="191"/>
      <c r="AA287" s="191"/>
      <c r="AB287" s="191"/>
      <c r="AC287" s="191"/>
      <c r="AD287" s="191"/>
      <c r="AE287" s="191"/>
      <c r="AF287" s="191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BB287" s="4"/>
      <c r="BC287" s="4"/>
      <c r="BD287" s="4"/>
      <c r="BE287" s="4"/>
      <c r="BF287" s="4"/>
      <c r="BG287" s="4"/>
      <c r="BH287" s="4"/>
      <c r="BI287" s="4"/>
    </row>
    <row r="288" spans="1:61" x14ac:dyDescent="0.2">
      <c r="A288" s="86">
        <v>173</v>
      </c>
      <c r="B288" s="11">
        <f>IF(Open[[#This Row],[PR Rang beim letzten Turnier]]&gt;Open[[#This Row],[PR Rang]],1,IF(Open[[#This Row],[PR Rang beim letzten Turnier]]=Open[[#This Row],[PR Rang]],0,-1))</f>
        <v>-1</v>
      </c>
      <c r="C288" s="194">
        <f>RANK(Open[[#This Row],[PR Punkte]],Open[PR Punkte],0)</f>
        <v>205</v>
      </c>
      <c r="D288" s="9" t="s">
        <v>313</v>
      </c>
      <c r="E288" s="11" t="s">
        <v>7</v>
      </c>
      <c r="F288" s="195">
        <f>SUM(Open[[#This Row],[PR 1]:[PR 3]])</f>
        <v>0</v>
      </c>
      <c r="G288" s="109">
        <f>LARGE(Open[[#This Row],[TS SH O 22.02.22]:[PR3]],1)</f>
        <v>0</v>
      </c>
      <c r="H288" s="109">
        <f>LARGE(Open[[#This Row],[TS SH O 22.02.22]:[PR3]],2)</f>
        <v>0</v>
      </c>
      <c r="I288" s="109">
        <f>LARGE(Open[[#This Row],[TS SH O 22.02.22]:[PR3]],3)</f>
        <v>0</v>
      </c>
      <c r="J288" s="196">
        <f>RANK(K288,$K$7:$K$361,0)</f>
        <v>205</v>
      </c>
      <c r="K288" s="109">
        <f>SUM(L288:W288)</f>
        <v>0</v>
      </c>
      <c r="L288" s="109"/>
      <c r="M288" s="109" t="str">
        <f>IFERROR(VLOOKUP(Open[[#This Row],[TS SH O 23.04.22 Rang]],$AJ$16:$AK$111,2,0)*M$5," ")</f>
        <v xml:space="preserve"> </v>
      </c>
      <c r="N288" s="109" t="str">
        <f>IFERROR(VLOOKUP(Open[[#This Row],[TS LA O 08.05.22 Rang]],$AJ$16:$AK$111,2,0)*N$5," ")</f>
        <v xml:space="preserve"> </v>
      </c>
      <c r="O288" s="109" t="str">
        <f>IFERROR(VLOOKUP(Open[[#This Row],[TS SG O 25.05.22 Rang]],$AJ$16:$AK$111,2,0)*O$5," ")</f>
        <v xml:space="preserve"> </v>
      </c>
      <c r="P288" s="109" t="str">
        <f>IFERROR(VLOOKUP(Open[[#This Row],[TS SH O 25.06.22 Rang]],$AJ$16:$AK$111,2,0)*P$5," ")</f>
        <v xml:space="preserve"> </v>
      </c>
      <c r="Q288" s="109" t="str">
        <f>IFERROR(VLOOKUP(Open[[#This Row],[TS ZH O/A 25.06.22 Rang]],$AJ$16:$AK$111,2,0)*Q$5," ")</f>
        <v xml:space="preserve"> </v>
      </c>
      <c r="R288" s="109" t="str">
        <f>IFERROR(VLOOKUP(Open[[#This Row],[TS ZH O/B 25.06.22 Rang]],$AJ$16:$AK$111,2,0)*R$5," ")</f>
        <v xml:space="preserve"> </v>
      </c>
      <c r="S288" s="109" t="str">
        <f>IFERROR(VLOOKUP(Open[[#This Row],[SM BE O/A 09.07.22 Rang]],$AJ$16:$AK$111,2,0)*S$5," ")</f>
        <v xml:space="preserve"> </v>
      </c>
      <c r="T288" s="109" t="str">
        <f>IFERROR(VLOOKUP(Open[[#This Row],[SM BE O/B 09.07.22 Rang]],$AJ$16:$AK$111,2,0)*T$5," ")</f>
        <v xml:space="preserve"> </v>
      </c>
      <c r="U288" s="11">
        <v>0</v>
      </c>
      <c r="V288" s="11">
        <v>0</v>
      </c>
      <c r="W288" s="11">
        <v>0</v>
      </c>
      <c r="X288" s="129"/>
      <c r="Y288" s="191"/>
      <c r="Z288" s="191"/>
      <c r="AA288" s="191"/>
      <c r="AB288" s="191"/>
      <c r="AC288" s="191"/>
      <c r="AD288" s="191"/>
      <c r="AE288" s="191"/>
      <c r="AF288" s="191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BB288" s="4"/>
      <c r="BC288" s="4"/>
      <c r="BD288" s="4"/>
      <c r="BE288" s="4"/>
      <c r="BF288" s="4"/>
      <c r="BG288" s="4"/>
      <c r="BH288" s="4"/>
      <c r="BI288" s="4"/>
    </row>
    <row r="289" spans="1:61" x14ac:dyDescent="0.2">
      <c r="A289" s="86">
        <v>173</v>
      </c>
      <c r="B289" s="11">
        <f>IF(Open[[#This Row],[PR Rang beim letzten Turnier]]&gt;Open[[#This Row],[PR Rang]],1,IF(Open[[#This Row],[PR Rang beim letzten Turnier]]=Open[[#This Row],[PR Rang]],0,-1))</f>
        <v>-1</v>
      </c>
      <c r="C289" s="194">
        <f>RANK(Open[[#This Row],[PR Punkte]],Open[PR Punkte],0)</f>
        <v>205</v>
      </c>
      <c r="D289" s="9" t="s">
        <v>557</v>
      </c>
      <c r="E289" s="11" t="s">
        <v>11</v>
      </c>
      <c r="F289" s="195">
        <f>SUM(Open[[#This Row],[PR 1]:[PR 3]])</f>
        <v>0</v>
      </c>
      <c r="G289" s="109">
        <f>LARGE(Open[[#This Row],[TS SH O 22.02.22]:[PR3]],1)</f>
        <v>0</v>
      </c>
      <c r="H289" s="109">
        <f>LARGE(Open[[#This Row],[TS SH O 22.02.22]:[PR3]],2)</f>
        <v>0</v>
      </c>
      <c r="I289" s="109">
        <f>LARGE(Open[[#This Row],[TS SH O 22.02.22]:[PR3]],3)</f>
        <v>0</v>
      </c>
      <c r="J289" s="196">
        <f>RANK(K289,$K$7:$K$361,0)</f>
        <v>205</v>
      </c>
      <c r="K289" s="109">
        <f>SUM(L289:W289)</f>
        <v>0</v>
      </c>
      <c r="L289" s="109"/>
      <c r="M289" s="109" t="str">
        <f>IFERROR(VLOOKUP(Open[[#This Row],[TS SH O 23.04.22 Rang]],$AJ$16:$AK$111,2,0)*M$5," ")</f>
        <v xml:space="preserve"> </v>
      </c>
      <c r="N289" s="109" t="str">
        <f>IFERROR(VLOOKUP(Open[[#This Row],[TS LA O 08.05.22 Rang]],$AJ$16:$AK$111,2,0)*N$5," ")</f>
        <v xml:space="preserve"> </v>
      </c>
      <c r="O289" s="109" t="str">
        <f>IFERROR(VLOOKUP(Open[[#This Row],[TS SG O 25.05.22 Rang]],$AJ$16:$AK$111,2,0)*O$5," ")</f>
        <v xml:space="preserve"> </v>
      </c>
      <c r="P289" s="109" t="str">
        <f>IFERROR(VLOOKUP(Open[[#This Row],[TS SH O 25.06.22 Rang]],$AJ$16:$AK$111,2,0)*P$5," ")</f>
        <v xml:space="preserve"> </v>
      </c>
      <c r="Q289" s="109" t="str">
        <f>IFERROR(VLOOKUP(Open[[#This Row],[TS ZH O/A 25.06.22 Rang]],$AJ$16:$AK$111,2,0)*Q$5," ")</f>
        <v xml:space="preserve"> </v>
      </c>
      <c r="R289" s="109" t="str">
        <f>IFERROR(VLOOKUP(Open[[#This Row],[TS ZH O/B 25.06.22 Rang]],$AJ$16:$AK$111,2,0)*R$5," ")</f>
        <v xml:space="preserve"> </v>
      </c>
      <c r="S289" s="109" t="str">
        <f>IFERROR(VLOOKUP(Open[[#This Row],[SM BE O/A 09.07.22 Rang]],$AJ$16:$AK$111,2,0)*S$5," ")</f>
        <v xml:space="preserve"> </v>
      </c>
      <c r="T289" s="109" t="str">
        <f>IFERROR(VLOOKUP(Open[[#This Row],[SM BE O/B 09.07.22 Rang]],$AJ$16:$AK$111,2,0)*T$5," ")</f>
        <v xml:space="preserve"> </v>
      </c>
      <c r="U289" s="11">
        <v>0</v>
      </c>
      <c r="V289" s="11">
        <v>0</v>
      </c>
      <c r="W289" s="11">
        <v>0</v>
      </c>
      <c r="X289" s="129"/>
      <c r="Y289" s="191"/>
      <c r="Z289" s="191"/>
      <c r="AA289" s="191"/>
      <c r="AB289" s="191"/>
      <c r="AC289" s="191"/>
      <c r="AD289" s="191"/>
      <c r="AE289" s="191"/>
      <c r="AF289" s="191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BB289" s="4"/>
      <c r="BC289" s="4"/>
      <c r="BD289" s="4"/>
      <c r="BE289" s="4"/>
      <c r="BF289" s="4"/>
      <c r="BG289" s="4"/>
      <c r="BH289" s="4"/>
      <c r="BI289" s="4"/>
    </row>
    <row r="290" spans="1:61" x14ac:dyDescent="0.2">
      <c r="A290" s="86">
        <v>173</v>
      </c>
      <c r="B290" s="11">
        <f>IF(Open[[#This Row],[PR Rang beim letzten Turnier]]&gt;Open[[#This Row],[PR Rang]],1,IF(Open[[#This Row],[PR Rang beim letzten Turnier]]=Open[[#This Row],[PR Rang]],0,-1))</f>
        <v>-1</v>
      </c>
      <c r="C290" s="194">
        <f>RANK(Open[[#This Row],[PR Punkte]],Open[PR Punkte],0)</f>
        <v>205</v>
      </c>
      <c r="D290" s="9" t="s">
        <v>558</v>
      </c>
      <c r="E290" s="11" t="s">
        <v>11</v>
      </c>
      <c r="F290" s="195">
        <f>SUM(Open[[#This Row],[PR 1]:[PR 3]])</f>
        <v>0</v>
      </c>
      <c r="G290" s="109">
        <f>LARGE(Open[[#This Row],[TS SH O 22.02.22]:[PR3]],1)</f>
        <v>0</v>
      </c>
      <c r="H290" s="109">
        <f>LARGE(Open[[#This Row],[TS SH O 22.02.22]:[PR3]],2)</f>
        <v>0</v>
      </c>
      <c r="I290" s="109">
        <f>LARGE(Open[[#This Row],[TS SH O 22.02.22]:[PR3]],3)</f>
        <v>0</v>
      </c>
      <c r="J290" s="196">
        <f>RANK(K290,$K$7:$K$361,0)</f>
        <v>205</v>
      </c>
      <c r="K290" s="109">
        <f>SUM(L290:W290)</f>
        <v>0</v>
      </c>
      <c r="L290" s="109"/>
      <c r="M290" s="109" t="str">
        <f>IFERROR(VLOOKUP(Open[[#This Row],[TS SH O 23.04.22 Rang]],$AJ$16:$AK$111,2,0)*M$5," ")</f>
        <v xml:space="preserve"> </v>
      </c>
      <c r="N290" s="109" t="str">
        <f>IFERROR(VLOOKUP(Open[[#This Row],[TS LA O 08.05.22 Rang]],$AJ$16:$AK$111,2,0)*N$5," ")</f>
        <v xml:space="preserve"> </v>
      </c>
      <c r="O290" s="109" t="str">
        <f>IFERROR(VLOOKUP(Open[[#This Row],[TS SG O 25.05.22 Rang]],$AJ$16:$AK$111,2,0)*O$5," ")</f>
        <v xml:space="preserve"> </v>
      </c>
      <c r="P290" s="109" t="str">
        <f>IFERROR(VLOOKUP(Open[[#This Row],[TS SH O 25.06.22 Rang]],$AJ$16:$AK$111,2,0)*P$5," ")</f>
        <v xml:space="preserve"> </v>
      </c>
      <c r="Q290" s="109" t="str">
        <f>IFERROR(VLOOKUP(Open[[#This Row],[TS ZH O/A 25.06.22 Rang]],$AJ$16:$AK$111,2,0)*Q$5," ")</f>
        <v xml:space="preserve"> </v>
      </c>
      <c r="R290" s="109" t="str">
        <f>IFERROR(VLOOKUP(Open[[#This Row],[TS ZH O/B 25.06.22 Rang]],$AJ$16:$AK$111,2,0)*R$5," ")</f>
        <v xml:space="preserve"> </v>
      </c>
      <c r="S290" s="109" t="str">
        <f>IFERROR(VLOOKUP(Open[[#This Row],[SM BE O/A 09.07.22 Rang]],$AJ$16:$AK$111,2,0)*S$5," ")</f>
        <v xml:space="preserve"> </v>
      </c>
      <c r="T290" s="109" t="str">
        <f>IFERROR(VLOOKUP(Open[[#This Row],[SM BE O/B 09.07.22 Rang]],$AJ$16:$AK$111,2,0)*T$5," ")</f>
        <v xml:space="preserve"> </v>
      </c>
      <c r="U290" s="11">
        <v>0</v>
      </c>
      <c r="V290" s="11">
        <v>0</v>
      </c>
      <c r="W290" s="11">
        <v>0</v>
      </c>
      <c r="X290" s="129"/>
      <c r="Y290" s="191"/>
      <c r="Z290" s="191"/>
      <c r="AA290" s="191"/>
      <c r="AB290" s="191"/>
      <c r="AC290" s="191"/>
      <c r="AD290" s="191"/>
      <c r="AE290" s="191"/>
      <c r="AF290" s="191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BB290" s="4"/>
      <c r="BC290" s="4"/>
      <c r="BD290" s="4"/>
      <c r="BE290" s="4"/>
      <c r="BF290" s="4"/>
      <c r="BG290" s="4"/>
      <c r="BH290" s="4"/>
      <c r="BI290" s="4"/>
    </row>
    <row r="291" spans="1:61" x14ac:dyDescent="0.2">
      <c r="A291" s="86">
        <v>173</v>
      </c>
      <c r="B291" s="11">
        <f>IF(Open[[#This Row],[PR Rang beim letzten Turnier]]&gt;Open[[#This Row],[PR Rang]],1,IF(Open[[#This Row],[PR Rang beim letzten Turnier]]=Open[[#This Row],[PR Rang]],0,-1))</f>
        <v>-1</v>
      </c>
      <c r="C291" s="194">
        <f>RANK(Open[[#This Row],[PR Punkte]],Open[PR Punkte],0)</f>
        <v>205</v>
      </c>
      <c r="D291" s="9" t="s">
        <v>559</v>
      </c>
      <c r="E291" s="11" t="s">
        <v>11</v>
      </c>
      <c r="F291" s="195">
        <f>SUM(Open[[#This Row],[PR 1]:[PR 3]])</f>
        <v>0</v>
      </c>
      <c r="G291" s="109">
        <f>LARGE(Open[[#This Row],[TS SH O 22.02.22]:[PR3]],1)</f>
        <v>0</v>
      </c>
      <c r="H291" s="109">
        <f>LARGE(Open[[#This Row],[TS SH O 22.02.22]:[PR3]],2)</f>
        <v>0</v>
      </c>
      <c r="I291" s="109">
        <f>LARGE(Open[[#This Row],[TS SH O 22.02.22]:[PR3]],3)</f>
        <v>0</v>
      </c>
      <c r="J291" s="196">
        <f>RANK(K291,$K$7:$K$361,0)</f>
        <v>205</v>
      </c>
      <c r="K291" s="109">
        <f>SUM(L291:W291)</f>
        <v>0</v>
      </c>
      <c r="L291" s="109"/>
      <c r="M291" s="109" t="str">
        <f>IFERROR(VLOOKUP(Open[[#This Row],[TS SH O 23.04.22 Rang]],$AJ$16:$AK$111,2,0)*M$5," ")</f>
        <v xml:space="preserve"> </v>
      </c>
      <c r="N291" s="109" t="str">
        <f>IFERROR(VLOOKUP(Open[[#This Row],[TS LA O 08.05.22 Rang]],$AJ$16:$AK$111,2,0)*N$5," ")</f>
        <v xml:space="preserve"> </v>
      </c>
      <c r="O291" s="109" t="str">
        <f>IFERROR(VLOOKUP(Open[[#This Row],[TS SG O 25.05.22 Rang]],$AJ$16:$AK$111,2,0)*O$5," ")</f>
        <v xml:space="preserve"> </v>
      </c>
      <c r="P291" s="109" t="str">
        <f>IFERROR(VLOOKUP(Open[[#This Row],[TS SH O 25.06.22 Rang]],$AJ$16:$AK$111,2,0)*P$5," ")</f>
        <v xml:space="preserve"> </v>
      </c>
      <c r="Q291" s="109" t="str">
        <f>IFERROR(VLOOKUP(Open[[#This Row],[TS ZH O/A 25.06.22 Rang]],$AJ$16:$AK$111,2,0)*Q$5," ")</f>
        <v xml:space="preserve"> </v>
      </c>
      <c r="R291" s="109" t="str">
        <f>IFERROR(VLOOKUP(Open[[#This Row],[TS ZH O/B 25.06.22 Rang]],$AJ$16:$AK$111,2,0)*R$5," ")</f>
        <v xml:space="preserve"> </v>
      </c>
      <c r="S291" s="109" t="str">
        <f>IFERROR(VLOOKUP(Open[[#This Row],[SM BE O/A 09.07.22 Rang]],$AJ$16:$AK$111,2,0)*S$5," ")</f>
        <v xml:space="preserve"> </v>
      </c>
      <c r="T291" s="109" t="str">
        <f>IFERROR(VLOOKUP(Open[[#This Row],[SM BE O/B 09.07.22 Rang]],$AJ$16:$AK$111,2,0)*T$5," ")</f>
        <v xml:space="preserve"> </v>
      </c>
      <c r="U291" s="11">
        <v>0</v>
      </c>
      <c r="V291" s="11">
        <v>0</v>
      </c>
      <c r="W291" s="11">
        <v>0</v>
      </c>
      <c r="X291" s="129"/>
      <c r="Y291" s="191"/>
      <c r="Z291" s="191"/>
      <c r="AA291" s="191"/>
      <c r="AB291" s="191"/>
      <c r="AC291" s="191"/>
      <c r="AD291" s="191"/>
      <c r="AE291" s="191"/>
      <c r="AF291" s="191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BB291" s="4"/>
      <c r="BC291" s="4"/>
      <c r="BD291" s="4"/>
      <c r="BE291" s="4"/>
      <c r="BF291" s="4"/>
      <c r="BG291" s="4"/>
      <c r="BH291" s="4"/>
      <c r="BI291" s="4"/>
    </row>
    <row r="292" spans="1:61" x14ac:dyDescent="0.2">
      <c r="A292" s="86">
        <v>173</v>
      </c>
      <c r="B292" s="11">
        <f>IF(Open[[#This Row],[PR Rang beim letzten Turnier]]&gt;Open[[#This Row],[PR Rang]],1,IF(Open[[#This Row],[PR Rang beim letzten Turnier]]=Open[[#This Row],[PR Rang]],0,-1))</f>
        <v>-1</v>
      </c>
      <c r="C292" s="194">
        <f>RANK(Open[[#This Row],[PR Punkte]],Open[PR Punkte],0)</f>
        <v>205</v>
      </c>
      <c r="D292" s="9" t="s">
        <v>561</v>
      </c>
      <c r="E292" s="11" t="s">
        <v>11</v>
      </c>
      <c r="F292" s="195">
        <f>SUM(Open[[#This Row],[PR 1]:[PR 3]])</f>
        <v>0</v>
      </c>
      <c r="G292" s="109">
        <f>LARGE(Open[[#This Row],[TS SH O 22.02.22]:[PR3]],1)</f>
        <v>0</v>
      </c>
      <c r="H292" s="109">
        <f>LARGE(Open[[#This Row],[TS SH O 22.02.22]:[PR3]],2)</f>
        <v>0</v>
      </c>
      <c r="I292" s="109">
        <f>LARGE(Open[[#This Row],[TS SH O 22.02.22]:[PR3]],3)</f>
        <v>0</v>
      </c>
      <c r="J292" s="196">
        <f>RANK(K292,$K$7:$K$361,0)</f>
        <v>205</v>
      </c>
      <c r="K292" s="109">
        <f>SUM(L292:W292)</f>
        <v>0</v>
      </c>
      <c r="L292" s="109"/>
      <c r="M292" s="109" t="str">
        <f>IFERROR(VLOOKUP(Open[[#This Row],[TS SH O 23.04.22 Rang]],$AJ$16:$AK$111,2,0)*M$5," ")</f>
        <v xml:space="preserve"> </v>
      </c>
      <c r="N292" s="109" t="str">
        <f>IFERROR(VLOOKUP(Open[[#This Row],[TS LA O 08.05.22 Rang]],$AJ$16:$AK$111,2,0)*N$5," ")</f>
        <v xml:space="preserve"> </v>
      </c>
      <c r="O292" s="109" t="str">
        <f>IFERROR(VLOOKUP(Open[[#This Row],[TS SG O 25.05.22 Rang]],$AJ$16:$AK$111,2,0)*O$5," ")</f>
        <v xml:space="preserve"> </v>
      </c>
      <c r="P292" s="109" t="str">
        <f>IFERROR(VLOOKUP(Open[[#This Row],[TS SH O 25.06.22 Rang]],$AJ$16:$AK$111,2,0)*P$5," ")</f>
        <v xml:space="preserve"> </v>
      </c>
      <c r="Q292" s="109" t="str">
        <f>IFERROR(VLOOKUP(Open[[#This Row],[TS ZH O/A 25.06.22 Rang]],$AJ$16:$AK$111,2,0)*Q$5," ")</f>
        <v xml:space="preserve"> </v>
      </c>
      <c r="R292" s="109" t="str">
        <f>IFERROR(VLOOKUP(Open[[#This Row],[TS ZH O/B 25.06.22 Rang]],$AJ$16:$AK$111,2,0)*R$5," ")</f>
        <v xml:space="preserve"> </v>
      </c>
      <c r="S292" s="109" t="str">
        <f>IFERROR(VLOOKUP(Open[[#This Row],[SM BE O/A 09.07.22 Rang]],$AJ$16:$AK$111,2,0)*S$5," ")</f>
        <v xml:space="preserve"> </v>
      </c>
      <c r="T292" s="109" t="str">
        <f>IFERROR(VLOOKUP(Open[[#This Row],[SM BE O/B 09.07.22 Rang]],$AJ$16:$AK$111,2,0)*T$5," ")</f>
        <v xml:space="preserve"> </v>
      </c>
      <c r="U292" s="11">
        <v>0</v>
      </c>
      <c r="V292" s="11">
        <v>0</v>
      </c>
      <c r="W292" s="11">
        <v>0</v>
      </c>
      <c r="X292" s="129"/>
      <c r="Y292" s="191"/>
      <c r="Z292" s="191"/>
      <c r="AA292" s="191"/>
      <c r="AB292" s="191"/>
      <c r="AC292" s="191"/>
      <c r="AD292" s="191"/>
      <c r="AE292" s="191"/>
      <c r="AF292" s="191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BB292" s="4"/>
      <c r="BC292" s="4"/>
      <c r="BD292" s="4"/>
      <c r="BE292" s="4"/>
      <c r="BF292" s="4"/>
      <c r="BG292" s="4"/>
      <c r="BH292" s="4"/>
      <c r="BI292" s="4"/>
    </row>
    <row r="293" spans="1:61" x14ac:dyDescent="0.2">
      <c r="A293" s="86">
        <v>173</v>
      </c>
      <c r="B293" s="11">
        <f>IF(Open[[#This Row],[PR Rang beim letzten Turnier]]&gt;Open[[#This Row],[PR Rang]],1,IF(Open[[#This Row],[PR Rang beim letzten Turnier]]=Open[[#This Row],[PR Rang]],0,-1))</f>
        <v>-1</v>
      </c>
      <c r="C293" s="194">
        <f>RANK(Open[[#This Row],[PR Punkte]],Open[PR Punkte],0)</f>
        <v>205</v>
      </c>
      <c r="D293" s="9" t="s">
        <v>560</v>
      </c>
      <c r="E293" s="11" t="s">
        <v>11</v>
      </c>
      <c r="F293" s="195">
        <f>SUM(Open[[#This Row],[PR 1]:[PR 3]])</f>
        <v>0</v>
      </c>
      <c r="G293" s="109">
        <f>LARGE(Open[[#This Row],[TS SH O 22.02.22]:[PR3]],1)</f>
        <v>0</v>
      </c>
      <c r="H293" s="109">
        <f>LARGE(Open[[#This Row],[TS SH O 22.02.22]:[PR3]],2)</f>
        <v>0</v>
      </c>
      <c r="I293" s="109">
        <f>LARGE(Open[[#This Row],[TS SH O 22.02.22]:[PR3]],3)</f>
        <v>0</v>
      </c>
      <c r="J293" s="196">
        <f>RANK(K293,$K$7:$K$361,0)</f>
        <v>205</v>
      </c>
      <c r="K293" s="109">
        <f>SUM(L293:W293)</f>
        <v>0</v>
      </c>
      <c r="L293" s="109"/>
      <c r="M293" s="109" t="str">
        <f>IFERROR(VLOOKUP(Open[[#This Row],[TS SH O 23.04.22 Rang]],$AJ$16:$AK$111,2,0)*M$5," ")</f>
        <v xml:space="preserve"> </v>
      </c>
      <c r="N293" s="109" t="str">
        <f>IFERROR(VLOOKUP(Open[[#This Row],[TS LA O 08.05.22 Rang]],$AJ$16:$AK$111,2,0)*N$5," ")</f>
        <v xml:space="preserve"> </v>
      </c>
      <c r="O293" s="109" t="str">
        <f>IFERROR(VLOOKUP(Open[[#This Row],[TS SG O 25.05.22 Rang]],$AJ$16:$AK$111,2,0)*O$5," ")</f>
        <v xml:space="preserve"> </v>
      </c>
      <c r="P293" s="109" t="str">
        <f>IFERROR(VLOOKUP(Open[[#This Row],[TS SH O 25.06.22 Rang]],$AJ$16:$AK$111,2,0)*P$5," ")</f>
        <v xml:space="preserve"> </v>
      </c>
      <c r="Q293" s="109" t="str">
        <f>IFERROR(VLOOKUP(Open[[#This Row],[TS ZH O/A 25.06.22 Rang]],$AJ$16:$AK$111,2,0)*Q$5," ")</f>
        <v xml:space="preserve"> </v>
      </c>
      <c r="R293" s="109" t="str">
        <f>IFERROR(VLOOKUP(Open[[#This Row],[TS ZH O/B 25.06.22 Rang]],$AJ$16:$AK$111,2,0)*R$5," ")</f>
        <v xml:space="preserve"> </v>
      </c>
      <c r="S293" s="109" t="str">
        <f>IFERROR(VLOOKUP(Open[[#This Row],[SM BE O/A 09.07.22 Rang]],$AJ$16:$AK$111,2,0)*S$5," ")</f>
        <v xml:space="preserve"> </v>
      </c>
      <c r="T293" s="109" t="str">
        <f>IFERROR(VLOOKUP(Open[[#This Row],[SM BE O/B 09.07.22 Rang]],$AJ$16:$AK$111,2,0)*T$5," ")</f>
        <v xml:space="preserve"> </v>
      </c>
      <c r="U293" s="11">
        <v>0</v>
      </c>
      <c r="V293" s="11">
        <v>0</v>
      </c>
      <c r="W293" s="11">
        <v>0</v>
      </c>
      <c r="X293" s="129"/>
      <c r="Y293" s="191"/>
      <c r="Z293" s="191"/>
      <c r="AA293" s="191"/>
      <c r="AB293" s="191"/>
      <c r="AC293" s="191"/>
      <c r="AD293" s="191"/>
      <c r="AE293" s="191"/>
      <c r="AF293" s="191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BB293" s="4"/>
      <c r="BC293" s="4"/>
      <c r="BD293" s="4"/>
      <c r="BE293" s="4"/>
      <c r="BF293" s="4"/>
      <c r="BG293" s="4"/>
      <c r="BH293" s="4"/>
      <c r="BI293" s="4"/>
    </row>
    <row r="294" spans="1:61" x14ac:dyDescent="0.2">
      <c r="A294" s="86">
        <v>173</v>
      </c>
      <c r="B294" s="11">
        <f>IF(Open[[#This Row],[PR Rang beim letzten Turnier]]&gt;Open[[#This Row],[PR Rang]],1,IF(Open[[#This Row],[PR Rang beim letzten Turnier]]=Open[[#This Row],[PR Rang]],0,-1))</f>
        <v>-1</v>
      </c>
      <c r="C294" s="194">
        <f>RANK(Open[[#This Row],[PR Punkte]],Open[PR Punkte],0)</f>
        <v>205</v>
      </c>
      <c r="D294" s="9" t="s">
        <v>562</v>
      </c>
      <c r="E294" s="11" t="s">
        <v>11</v>
      </c>
      <c r="F294" s="195">
        <f>SUM(Open[[#This Row],[PR 1]:[PR 3]])</f>
        <v>0</v>
      </c>
      <c r="G294" s="109">
        <f>LARGE(Open[[#This Row],[TS SH O 22.02.22]:[PR3]],1)</f>
        <v>0</v>
      </c>
      <c r="H294" s="109">
        <f>LARGE(Open[[#This Row],[TS SH O 22.02.22]:[PR3]],2)</f>
        <v>0</v>
      </c>
      <c r="I294" s="109">
        <f>LARGE(Open[[#This Row],[TS SH O 22.02.22]:[PR3]],3)</f>
        <v>0</v>
      </c>
      <c r="J294" s="196">
        <f>RANK(K294,$K$7:$K$361,0)</f>
        <v>205</v>
      </c>
      <c r="K294" s="109">
        <f>SUM(L294:W294)</f>
        <v>0</v>
      </c>
      <c r="L294" s="109"/>
      <c r="M294" s="109" t="str">
        <f>IFERROR(VLOOKUP(Open[[#This Row],[TS SH O 23.04.22 Rang]],$AJ$16:$AK$111,2,0)*M$5," ")</f>
        <v xml:space="preserve"> </v>
      </c>
      <c r="N294" s="109" t="str">
        <f>IFERROR(VLOOKUP(Open[[#This Row],[TS LA O 08.05.22 Rang]],$AJ$16:$AK$111,2,0)*N$5," ")</f>
        <v xml:space="preserve"> </v>
      </c>
      <c r="O294" s="109" t="str">
        <f>IFERROR(VLOOKUP(Open[[#This Row],[TS SG O 25.05.22 Rang]],$AJ$16:$AK$111,2,0)*O$5," ")</f>
        <v xml:space="preserve"> </v>
      </c>
      <c r="P294" s="109" t="str">
        <f>IFERROR(VLOOKUP(Open[[#This Row],[TS SH O 25.06.22 Rang]],$AJ$16:$AK$111,2,0)*P$5," ")</f>
        <v xml:space="preserve"> </v>
      </c>
      <c r="Q294" s="109" t="str">
        <f>IFERROR(VLOOKUP(Open[[#This Row],[TS ZH O/A 25.06.22 Rang]],$AJ$16:$AK$111,2,0)*Q$5," ")</f>
        <v xml:space="preserve"> </v>
      </c>
      <c r="R294" s="109" t="str">
        <f>IFERROR(VLOOKUP(Open[[#This Row],[TS ZH O/B 25.06.22 Rang]],$AJ$16:$AK$111,2,0)*R$5," ")</f>
        <v xml:space="preserve"> </v>
      </c>
      <c r="S294" s="109" t="str">
        <f>IFERROR(VLOOKUP(Open[[#This Row],[SM BE O/A 09.07.22 Rang]],$AJ$16:$AK$111,2,0)*S$5," ")</f>
        <v xml:space="preserve"> </v>
      </c>
      <c r="T294" s="109" t="str">
        <f>IFERROR(VLOOKUP(Open[[#This Row],[SM BE O/B 09.07.22 Rang]],$AJ$16:$AK$111,2,0)*T$5," ")</f>
        <v xml:space="preserve"> </v>
      </c>
      <c r="U294" s="11">
        <v>0</v>
      </c>
      <c r="V294" s="11">
        <v>0</v>
      </c>
      <c r="W294" s="11">
        <v>0</v>
      </c>
      <c r="X294" s="129"/>
      <c r="Y294" s="191"/>
      <c r="Z294" s="191"/>
      <c r="AA294" s="191"/>
      <c r="AB294" s="191"/>
      <c r="AC294" s="191"/>
      <c r="AD294" s="191"/>
      <c r="AE294" s="191"/>
      <c r="AF294" s="191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BB294" s="4"/>
      <c r="BC294" s="4"/>
      <c r="BD294" s="4"/>
      <c r="BE294" s="4"/>
      <c r="BF294" s="4"/>
      <c r="BG294" s="4"/>
      <c r="BH294" s="4"/>
      <c r="BI294" s="4"/>
    </row>
    <row r="295" spans="1:61" x14ac:dyDescent="0.2">
      <c r="A295" s="86">
        <v>173</v>
      </c>
      <c r="B295" s="11">
        <f>IF(Open[[#This Row],[PR Rang beim letzten Turnier]]&gt;Open[[#This Row],[PR Rang]],1,IF(Open[[#This Row],[PR Rang beim letzten Turnier]]=Open[[#This Row],[PR Rang]],0,-1))</f>
        <v>-1</v>
      </c>
      <c r="C295" s="194">
        <f>RANK(Open[[#This Row],[PR Punkte]],Open[PR Punkte],0)</f>
        <v>205</v>
      </c>
      <c r="D295" s="9" t="s">
        <v>563</v>
      </c>
      <c r="E295" s="11" t="s">
        <v>11</v>
      </c>
      <c r="F295" s="195">
        <f>SUM(Open[[#This Row],[PR 1]:[PR 3]])</f>
        <v>0</v>
      </c>
      <c r="G295" s="109">
        <f>LARGE(Open[[#This Row],[TS SH O 22.02.22]:[PR3]],1)</f>
        <v>0</v>
      </c>
      <c r="H295" s="109">
        <f>LARGE(Open[[#This Row],[TS SH O 22.02.22]:[PR3]],2)</f>
        <v>0</v>
      </c>
      <c r="I295" s="109">
        <f>LARGE(Open[[#This Row],[TS SH O 22.02.22]:[PR3]],3)</f>
        <v>0</v>
      </c>
      <c r="J295" s="196">
        <f>RANK(K295,$K$7:$K$361,0)</f>
        <v>205</v>
      </c>
      <c r="K295" s="109">
        <f>SUM(L295:W295)</f>
        <v>0</v>
      </c>
      <c r="L295" s="109"/>
      <c r="M295" s="109" t="str">
        <f>IFERROR(VLOOKUP(Open[[#This Row],[TS SH O 23.04.22 Rang]],$AJ$16:$AK$111,2,0)*M$5," ")</f>
        <v xml:space="preserve"> </v>
      </c>
      <c r="N295" s="109" t="str">
        <f>IFERROR(VLOOKUP(Open[[#This Row],[TS LA O 08.05.22 Rang]],$AJ$16:$AK$111,2,0)*N$5," ")</f>
        <v xml:space="preserve"> </v>
      </c>
      <c r="O295" s="109" t="str">
        <f>IFERROR(VLOOKUP(Open[[#This Row],[TS SG O 25.05.22 Rang]],$AJ$16:$AK$111,2,0)*O$5," ")</f>
        <v xml:space="preserve"> </v>
      </c>
      <c r="P295" s="109" t="str">
        <f>IFERROR(VLOOKUP(Open[[#This Row],[TS SH O 25.06.22 Rang]],$AJ$16:$AK$111,2,0)*P$5," ")</f>
        <v xml:space="preserve"> </v>
      </c>
      <c r="Q295" s="109" t="str">
        <f>IFERROR(VLOOKUP(Open[[#This Row],[TS ZH O/A 25.06.22 Rang]],$AJ$16:$AK$111,2,0)*Q$5," ")</f>
        <v xml:space="preserve"> </v>
      </c>
      <c r="R295" s="109" t="str">
        <f>IFERROR(VLOOKUP(Open[[#This Row],[TS ZH O/B 25.06.22 Rang]],$AJ$16:$AK$111,2,0)*R$5," ")</f>
        <v xml:space="preserve"> </v>
      </c>
      <c r="S295" s="109" t="str">
        <f>IFERROR(VLOOKUP(Open[[#This Row],[SM BE O/A 09.07.22 Rang]],$AJ$16:$AK$111,2,0)*S$5," ")</f>
        <v xml:space="preserve"> </v>
      </c>
      <c r="T295" s="109" t="str">
        <f>IFERROR(VLOOKUP(Open[[#This Row],[SM BE O/B 09.07.22 Rang]],$AJ$16:$AK$111,2,0)*T$5," ")</f>
        <v xml:space="preserve"> </v>
      </c>
      <c r="U295" s="11">
        <v>0</v>
      </c>
      <c r="V295" s="11">
        <v>0</v>
      </c>
      <c r="W295" s="11">
        <v>0</v>
      </c>
      <c r="X295" s="129"/>
      <c r="Y295" s="191"/>
      <c r="Z295" s="191"/>
      <c r="AA295" s="191"/>
      <c r="AB295" s="191"/>
      <c r="AC295" s="191"/>
      <c r="AD295" s="191"/>
      <c r="AE295" s="191"/>
      <c r="AF295" s="191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BB295" s="4"/>
      <c r="BC295" s="4"/>
      <c r="BD295" s="4"/>
      <c r="BE295" s="4"/>
      <c r="BF295" s="4"/>
      <c r="BG295" s="4"/>
      <c r="BH295" s="4"/>
      <c r="BI295" s="4"/>
    </row>
    <row r="296" spans="1:61" x14ac:dyDescent="0.2">
      <c r="A296" s="86">
        <v>173</v>
      </c>
      <c r="B296" s="11">
        <f>IF(Open[[#This Row],[PR Rang beim letzten Turnier]]&gt;Open[[#This Row],[PR Rang]],1,IF(Open[[#This Row],[PR Rang beim letzten Turnier]]=Open[[#This Row],[PR Rang]],0,-1))</f>
        <v>-1</v>
      </c>
      <c r="C296" s="194">
        <f>RANK(Open[[#This Row],[PR Punkte]],Open[PR Punkte],0)</f>
        <v>205</v>
      </c>
      <c r="D296" s="9" t="s">
        <v>564</v>
      </c>
      <c r="E296" s="11" t="s">
        <v>11</v>
      </c>
      <c r="F296" s="195">
        <f>SUM(Open[[#This Row],[PR 1]:[PR 3]])</f>
        <v>0</v>
      </c>
      <c r="G296" s="109">
        <f>LARGE(Open[[#This Row],[TS SH O 22.02.22]:[PR3]],1)</f>
        <v>0</v>
      </c>
      <c r="H296" s="109">
        <f>LARGE(Open[[#This Row],[TS SH O 22.02.22]:[PR3]],2)</f>
        <v>0</v>
      </c>
      <c r="I296" s="109">
        <f>LARGE(Open[[#This Row],[TS SH O 22.02.22]:[PR3]],3)</f>
        <v>0</v>
      </c>
      <c r="J296" s="196">
        <f>RANK(K296,$K$7:$K$361,0)</f>
        <v>205</v>
      </c>
      <c r="K296" s="109">
        <f>SUM(L296:W296)</f>
        <v>0</v>
      </c>
      <c r="L296" s="109"/>
      <c r="M296" s="109" t="str">
        <f>IFERROR(VLOOKUP(Open[[#This Row],[TS SH O 23.04.22 Rang]],$AJ$16:$AK$111,2,0)*M$5," ")</f>
        <v xml:space="preserve"> </v>
      </c>
      <c r="N296" s="109" t="str">
        <f>IFERROR(VLOOKUP(Open[[#This Row],[TS LA O 08.05.22 Rang]],$AJ$16:$AK$111,2,0)*N$5," ")</f>
        <v xml:space="preserve"> </v>
      </c>
      <c r="O296" s="109" t="str">
        <f>IFERROR(VLOOKUP(Open[[#This Row],[TS SG O 25.05.22 Rang]],$AJ$16:$AK$111,2,0)*O$5," ")</f>
        <v xml:space="preserve"> </v>
      </c>
      <c r="P296" s="109" t="str">
        <f>IFERROR(VLOOKUP(Open[[#This Row],[TS SH O 25.06.22 Rang]],$AJ$16:$AK$111,2,0)*P$5," ")</f>
        <v xml:space="preserve"> </v>
      </c>
      <c r="Q296" s="109" t="str">
        <f>IFERROR(VLOOKUP(Open[[#This Row],[TS ZH O/A 25.06.22 Rang]],$AJ$16:$AK$111,2,0)*Q$5," ")</f>
        <v xml:space="preserve"> </v>
      </c>
      <c r="R296" s="109" t="str">
        <f>IFERROR(VLOOKUP(Open[[#This Row],[TS ZH O/B 25.06.22 Rang]],$AJ$16:$AK$111,2,0)*R$5," ")</f>
        <v xml:space="preserve"> </v>
      </c>
      <c r="S296" s="109" t="str">
        <f>IFERROR(VLOOKUP(Open[[#This Row],[SM BE O/A 09.07.22 Rang]],$AJ$16:$AK$111,2,0)*S$5," ")</f>
        <v xml:space="preserve"> </v>
      </c>
      <c r="T296" s="109" t="str">
        <f>IFERROR(VLOOKUP(Open[[#This Row],[SM BE O/B 09.07.22 Rang]],$AJ$16:$AK$111,2,0)*T$5," ")</f>
        <v xml:space="preserve"> </v>
      </c>
      <c r="U296" s="11">
        <v>0</v>
      </c>
      <c r="V296" s="11">
        <v>0</v>
      </c>
      <c r="W296" s="11">
        <v>0</v>
      </c>
      <c r="X296" s="129"/>
      <c r="Y296" s="191"/>
      <c r="Z296" s="191"/>
      <c r="AA296" s="191"/>
      <c r="AB296" s="191"/>
      <c r="AC296" s="191"/>
      <c r="AD296" s="191"/>
      <c r="AE296" s="191"/>
      <c r="AF296" s="191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BB296" s="4"/>
      <c r="BC296" s="4"/>
      <c r="BD296" s="4"/>
      <c r="BE296" s="4"/>
      <c r="BF296" s="4"/>
      <c r="BG296" s="4"/>
      <c r="BH296" s="4"/>
      <c r="BI296" s="4"/>
    </row>
    <row r="297" spans="1:61" x14ac:dyDescent="0.2">
      <c r="A297" s="11">
        <v>173</v>
      </c>
      <c r="B297" s="11">
        <f>IF(Open[[#This Row],[PR Rang beim letzten Turnier]]&gt;Open[[#This Row],[PR Rang]],1,IF(Open[[#This Row],[PR Rang beim letzten Turnier]]=Open[[#This Row],[PR Rang]],0,-1))</f>
        <v>-1</v>
      </c>
      <c r="C297" s="147">
        <f>RANK(Open[[#This Row],[PR Punkte]],Open[PR Punkte],0)</f>
        <v>205</v>
      </c>
      <c r="D297" s="9" t="s">
        <v>63</v>
      </c>
      <c r="E297" s="9" t="s">
        <v>9</v>
      </c>
      <c r="F297" s="109">
        <f>SUM(Open[[#This Row],[PR 1]:[PR 3]])</f>
        <v>0</v>
      </c>
      <c r="G297" s="109">
        <f>LARGE(Open[[#This Row],[TS SH O 22.02.22]:[PR3]],1)</f>
        <v>0</v>
      </c>
      <c r="H297" s="109">
        <f>LARGE(Open[[#This Row],[TS SH O 22.02.22]:[PR3]],2)</f>
        <v>0</v>
      </c>
      <c r="I297" s="109">
        <f>LARGE(Open[[#This Row],[TS SH O 22.02.22]:[PR3]],3)</f>
        <v>0</v>
      </c>
      <c r="J297" s="9">
        <f>RANK(K297,$K$7:$K$295,0)</f>
        <v>205</v>
      </c>
      <c r="K297" s="109">
        <f>SUM(L297:W297)</f>
        <v>0</v>
      </c>
      <c r="L297" s="109" t="str">
        <f>IFERROR(VLOOKUP(Open[[#This Row],[TS SH 22.02.22 Rang]],$AJ$16:$AK$111,2,0)*L$5," ")</f>
        <v xml:space="preserve"> </v>
      </c>
      <c r="M297" s="109" t="str">
        <f>IFERROR(VLOOKUP(Open[[#This Row],[TS SH O 23.04.22 Rang]],$AJ$16:$AK$111,2,0)*M$5," ")</f>
        <v xml:space="preserve"> </v>
      </c>
      <c r="N297" s="109" t="str">
        <f>IFERROR(VLOOKUP(Open[[#This Row],[TS LA O 08.05.22 Rang]],$AJ$16:$AK$111,2,0)*N$5," ")</f>
        <v xml:space="preserve"> </v>
      </c>
      <c r="O297" s="109" t="str">
        <f>IFERROR(VLOOKUP(Open[[#This Row],[TS SG O 25.05.22 Rang]],$AJ$16:$AK$111,2,0)*O$5," ")</f>
        <v xml:space="preserve"> </v>
      </c>
      <c r="P297" s="109" t="str">
        <f>IFERROR(VLOOKUP(Open[[#This Row],[TS SH O 25.06.22 Rang]],$AJ$16:$AK$111,2,0)*P$5," ")</f>
        <v xml:space="preserve"> </v>
      </c>
      <c r="Q297" s="109" t="str">
        <f>IFERROR(VLOOKUP(Open[[#This Row],[TS ZH O/A 25.06.22 Rang]],$AJ$16:$AK$111,2,0)*Q$5," ")</f>
        <v xml:space="preserve"> </v>
      </c>
      <c r="R297" s="109" t="str">
        <f>IFERROR(VLOOKUP(Open[[#This Row],[TS ZH O/B 25.06.22 Rang]],$AJ$16:$AK$111,2,0)*R$5," ")</f>
        <v xml:space="preserve"> </v>
      </c>
      <c r="S297" s="109" t="str">
        <f>IFERROR(VLOOKUP(Open[[#This Row],[SM BE O/A 09.07.22 Rang]],$AJ$16:$AK$111,2,0)*S$5," ")</f>
        <v xml:space="preserve"> </v>
      </c>
      <c r="T297" s="109" t="str">
        <f>IFERROR(VLOOKUP(Open[[#This Row],[SM BE O/B 09.07.22 Rang]],$AJ$16:$AK$111,2,0)*T$5," ")</f>
        <v xml:space="preserve"> </v>
      </c>
      <c r="U297" s="11">
        <v>0</v>
      </c>
      <c r="V297" s="11">
        <v>0</v>
      </c>
      <c r="W297" s="11">
        <v>0</v>
      </c>
      <c r="X297" s="129"/>
      <c r="Y297" s="191"/>
      <c r="Z297" s="191"/>
      <c r="AA297" s="191"/>
      <c r="AB297" s="191"/>
      <c r="AC297" s="191"/>
      <c r="AD297" s="191"/>
      <c r="AE297" s="191"/>
      <c r="AF297" s="191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BB297" s="4"/>
      <c r="BC297" s="4"/>
      <c r="BD297" s="4"/>
      <c r="BE297" s="4"/>
      <c r="BF297" s="4"/>
      <c r="BG297" s="4"/>
      <c r="BH297" s="4"/>
      <c r="BI297" s="4"/>
    </row>
    <row r="298" spans="1:61" x14ac:dyDescent="0.2">
      <c r="A298" s="11">
        <v>173</v>
      </c>
      <c r="B298" s="11">
        <f>IF(Open[[#This Row],[PR Rang beim letzten Turnier]]&gt;Open[[#This Row],[PR Rang]],1,IF(Open[[#This Row],[PR Rang beim letzten Turnier]]=Open[[#This Row],[PR Rang]],0,-1))</f>
        <v>-1</v>
      </c>
      <c r="C298" s="147">
        <f>RANK(Open[[#This Row],[PR Punkte]],Open[PR Punkte],0)</f>
        <v>205</v>
      </c>
      <c r="D298" s="31" t="s">
        <v>62</v>
      </c>
      <c r="E298" s="11" t="s">
        <v>9</v>
      </c>
      <c r="F298" s="109">
        <f>SUM(Open[[#This Row],[PR 1]:[PR 3]])</f>
        <v>0</v>
      </c>
      <c r="G298" s="109">
        <f>LARGE(Open[[#This Row],[TS SH O 22.02.22]:[PR3]],1)</f>
        <v>0</v>
      </c>
      <c r="H298" s="109">
        <f>LARGE(Open[[#This Row],[TS SH O 22.02.22]:[PR3]],2)</f>
        <v>0</v>
      </c>
      <c r="I298" s="109">
        <f>LARGE(Open[[#This Row],[TS SH O 22.02.22]:[PR3]],3)</f>
        <v>0</v>
      </c>
      <c r="J298" s="11">
        <f>RANK(K298,$K$7:$K$295,0)</f>
        <v>205</v>
      </c>
      <c r="K298" s="109">
        <f>SUM(L298:W298)</f>
        <v>0</v>
      </c>
      <c r="L298" s="109" t="str">
        <f>IFERROR(VLOOKUP(Open[[#This Row],[TS SH 22.02.22 Rang]],$AJ$16:$AK$111,2,0)*L$5," ")</f>
        <v xml:space="preserve"> </v>
      </c>
      <c r="M298" s="109" t="str">
        <f>IFERROR(VLOOKUP(Open[[#This Row],[TS SH O 23.04.22 Rang]],$AJ$16:$AK$111,2,0)*M$5," ")</f>
        <v xml:space="preserve"> </v>
      </c>
      <c r="N298" s="109" t="str">
        <f>IFERROR(VLOOKUP(Open[[#This Row],[TS LA O 08.05.22 Rang]],$AJ$16:$AK$111,2,0)*N$5," ")</f>
        <v xml:space="preserve"> </v>
      </c>
      <c r="O298" s="109" t="str">
        <f>IFERROR(VLOOKUP(Open[[#This Row],[TS SG O 25.05.22 Rang]],$AJ$16:$AK$111,2,0)*O$5," ")</f>
        <v xml:space="preserve"> </v>
      </c>
      <c r="P298" s="109" t="str">
        <f>IFERROR(VLOOKUP(Open[[#This Row],[TS SH O 25.06.22 Rang]],$AJ$16:$AK$111,2,0)*P$5," ")</f>
        <v xml:space="preserve"> </v>
      </c>
      <c r="Q298" s="109" t="str">
        <f>IFERROR(VLOOKUP(Open[[#This Row],[TS ZH O/A 25.06.22 Rang]],$AJ$16:$AK$111,2,0)*Q$5," ")</f>
        <v xml:space="preserve"> </v>
      </c>
      <c r="R298" s="109" t="str">
        <f>IFERROR(VLOOKUP(Open[[#This Row],[TS ZH O/B 25.06.22 Rang]],$AJ$16:$AK$111,2,0)*R$5," ")</f>
        <v xml:space="preserve"> </v>
      </c>
      <c r="S298" s="109" t="str">
        <f>IFERROR(VLOOKUP(Open[[#This Row],[SM BE O/A 09.07.22 Rang]],$AJ$16:$AK$111,2,0)*S$5," ")</f>
        <v xml:space="preserve"> </v>
      </c>
      <c r="T298" s="109" t="str">
        <f>IFERROR(VLOOKUP(Open[[#This Row],[SM BE O/B 09.07.22 Rang]],$AJ$16:$AK$111,2,0)*T$5," ")</f>
        <v xml:space="preserve"> </v>
      </c>
      <c r="U298" s="11">
        <v>0</v>
      </c>
      <c r="V298" s="11">
        <v>0</v>
      </c>
      <c r="W298" s="11">
        <v>0</v>
      </c>
      <c r="X298" s="129"/>
      <c r="Y298" s="191"/>
      <c r="Z298" s="191"/>
      <c r="AA298" s="191"/>
      <c r="AB298" s="191"/>
      <c r="AC298" s="191"/>
      <c r="AD298" s="191"/>
      <c r="AE298" s="191"/>
      <c r="AF298" s="191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BB298" s="4"/>
      <c r="BC298" s="4"/>
      <c r="BD298" s="4"/>
      <c r="BE298" s="4"/>
      <c r="BF298" s="4"/>
      <c r="BG298" s="4"/>
      <c r="BH298" s="4"/>
      <c r="BI298" s="4"/>
    </row>
    <row r="299" spans="1:61" x14ac:dyDescent="0.2">
      <c r="A299" s="11">
        <v>173</v>
      </c>
      <c r="B299" s="11">
        <f>IF(Open[[#This Row],[PR Rang beim letzten Turnier]]&gt;Open[[#This Row],[PR Rang]],1,IF(Open[[#This Row],[PR Rang beim letzten Turnier]]=Open[[#This Row],[PR Rang]],0,-1))</f>
        <v>-1</v>
      </c>
      <c r="C299" s="147">
        <f>RANK(Open[[#This Row],[PR Punkte]],Open[PR Punkte],0)</f>
        <v>205</v>
      </c>
      <c r="D299" s="25" t="s">
        <v>274</v>
      </c>
      <c r="E299" s="31" t="s">
        <v>17</v>
      </c>
      <c r="F299" s="109">
        <f>SUM(Open[[#This Row],[PR 1]:[PR 3]])</f>
        <v>0</v>
      </c>
      <c r="G299" s="109">
        <f>LARGE(Open[[#This Row],[TS SH O 22.02.22]:[PR3]],1)</f>
        <v>0</v>
      </c>
      <c r="H299" s="109">
        <f>LARGE(Open[[#This Row],[TS SH O 22.02.22]:[PR3]],2)</f>
        <v>0</v>
      </c>
      <c r="I299" s="109">
        <f>LARGE(Open[[#This Row],[TS SH O 22.02.22]:[PR3]],3)</f>
        <v>0</v>
      </c>
      <c r="J299" s="31">
        <f>RANK(K299,$K$7:$K$295,0)</f>
        <v>205</v>
      </c>
      <c r="K299" s="109">
        <f>SUM(L299:W299)</f>
        <v>0</v>
      </c>
      <c r="L299" s="109" t="str">
        <f>IFERROR(VLOOKUP(Open[[#This Row],[TS SH 22.02.22 Rang]],$AJ$16:$AK$111,2,0)*L$5," ")</f>
        <v xml:space="preserve"> </v>
      </c>
      <c r="M299" s="109" t="str">
        <f>IFERROR(VLOOKUP(Open[[#This Row],[TS SH O 23.04.22 Rang]],$AJ$16:$AK$111,2,0)*M$5," ")</f>
        <v xml:space="preserve"> </v>
      </c>
      <c r="N299" s="109" t="str">
        <f>IFERROR(VLOOKUP(Open[[#This Row],[TS LA O 08.05.22 Rang]],$AJ$16:$AK$111,2,0)*N$5," ")</f>
        <v xml:space="preserve"> </v>
      </c>
      <c r="O299" s="109" t="str">
        <f>IFERROR(VLOOKUP(Open[[#This Row],[TS SG O 25.05.22 Rang]],$AJ$16:$AK$111,2,0)*O$5," ")</f>
        <v xml:space="preserve"> </v>
      </c>
      <c r="P299" s="109" t="str">
        <f>IFERROR(VLOOKUP(Open[[#This Row],[TS SH O 25.06.22 Rang]],$AJ$16:$AK$111,2,0)*P$5," ")</f>
        <v xml:space="preserve"> </v>
      </c>
      <c r="Q299" s="109" t="str">
        <f>IFERROR(VLOOKUP(Open[[#This Row],[TS ZH O/A 25.06.22 Rang]],$AJ$16:$AK$111,2,0)*Q$5," ")</f>
        <v xml:space="preserve"> </v>
      </c>
      <c r="R299" s="109" t="str">
        <f>IFERROR(VLOOKUP(Open[[#This Row],[TS ZH O/B 25.06.22 Rang]],$AJ$16:$AK$111,2,0)*R$5," ")</f>
        <v xml:space="preserve"> </v>
      </c>
      <c r="S299" s="109" t="str">
        <f>IFERROR(VLOOKUP(Open[[#This Row],[SM BE O/A 09.07.22 Rang]],$AJ$16:$AK$111,2,0)*S$5," ")</f>
        <v xml:space="preserve"> </v>
      </c>
      <c r="T299" s="109" t="str">
        <f>IFERROR(VLOOKUP(Open[[#This Row],[SM BE O/B 09.07.22 Rang]],$AJ$16:$AK$111,2,0)*T$5," ")</f>
        <v xml:space="preserve"> </v>
      </c>
      <c r="U299" s="11">
        <v>0</v>
      </c>
      <c r="V299" s="11">
        <v>0</v>
      </c>
      <c r="W299" s="11">
        <v>0</v>
      </c>
      <c r="X299" s="129"/>
      <c r="Y299" s="191"/>
      <c r="Z299" s="191"/>
      <c r="AA299" s="191"/>
      <c r="AB299" s="191"/>
      <c r="AC299" s="191"/>
      <c r="AD299" s="191"/>
      <c r="AE299" s="191"/>
      <c r="AF299" s="191"/>
    </row>
    <row r="300" spans="1:61" x14ac:dyDescent="0.2">
      <c r="A300" s="11">
        <v>173</v>
      </c>
      <c r="B300" s="11">
        <f>IF(Open[[#This Row],[PR Rang beim letzten Turnier]]&gt;Open[[#This Row],[PR Rang]],1,IF(Open[[#This Row],[PR Rang beim letzten Turnier]]=Open[[#This Row],[PR Rang]],0,-1))</f>
        <v>-1</v>
      </c>
      <c r="C300" s="147">
        <f>RANK(Open[[#This Row],[PR Punkte]],Open[PR Punkte],0)</f>
        <v>205</v>
      </c>
      <c r="D300" s="25" t="s">
        <v>275</v>
      </c>
      <c r="E300" s="31" t="s">
        <v>11</v>
      </c>
      <c r="F300" s="109">
        <f>SUM(Open[[#This Row],[PR 1]:[PR 3]])</f>
        <v>0</v>
      </c>
      <c r="G300" s="109">
        <f>LARGE(Open[[#This Row],[TS SH O 22.02.22]:[PR3]],1)</f>
        <v>0</v>
      </c>
      <c r="H300" s="109">
        <f>LARGE(Open[[#This Row],[TS SH O 22.02.22]:[PR3]],2)</f>
        <v>0</v>
      </c>
      <c r="I300" s="109">
        <f>LARGE(Open[[#This Row],[TS SH O 22.02.22]:[PR3]],3)</f>
        <v>0</v>
      </c>
      <c r="J300" s="31">
        <f>RANK(K300,$K$7:$K$295,0)</f>
        <v>205</v>
      </c>
      <c r="K300" s="109">
        <f>SUM(L300:W300)</f>
        <v>0</v>
      </c>
      <c r="L300" s="109" t="str">
        <f>IFERROR(VLOOKUP(Open[[#This Row],[TS SH 22.02.22 Rang]],$AJ$16:$AK$111,2,0)*L$5," ")</f>
        <v xml:space="preserve"> </v>
      </c>
      <c r="M300" s="109" t="str">
        <f>IFERROR(VLOOKUP(Open[[#This Row],[TS SH O 23.04.22 Rang]],$AJ$16:$AK$111,2,0)*M$5," ")</f>
        <v xml:space="preserve"> </v>
      </c>
      <c r="N300" s="109" t="str">
        <f>IFERROR(VLOOKUP(Open[[#This Row],[TS LA O 08.05.22 Rang]],$AJ$16:$AK$111,2,0)*N$5," ")</f>
        <v xml:space="preserve"> </v>
      </c>
      <c r="O300" s="109" t="str">
        <f>IFERROR(VLOOKUP(Open[[#This Row],[TS SG O 25.05.22 Rang]],$AJ$16:$AK$111,2,0)*O$5," ")</f>
        <v xml:space="preserve"> </v>
      </c>
      <c r="P300" s="109" t="str">
        <f>IFERROR(VLOOKUP(Open[[#This Row],[TS SH O 25.06.22 Rang]],$AJ$16:$AK$111,2,0)*P$5," ")</f>
        <v xml:space="preserve"> </v>
      </c>
      <c r="Q300" s="109" t="str">
        <f>IFERROR(VLOOKUP(Open[[#This Row],[TS ZH O/A 25.06.22 Rang]],$AJ$16:$AK$111,2,0)*Q$5," ")</f>
        <v xml:space="preserve"> </v>
      </c>
      <c r="R300" s="109" t="str">
        <f>IFERROR(VLOOKUP(Open[[#This Row],[TS ZH O/B 25.06.22 Rang]],$AJ$16:$AK$111,2,0)*R$5," ")</f>
        <v xml:space="preserve"> </v>
      </c>
      <c r="S300" s="109" t="str">
        <f>IFERROR(VLOOKUP(Open[[#This Row],[SM BE O/A 09.07.22 Rang]],$AJ$16:$AK$111,2,0)*S$5," ")</f>
        <v xml:space="preserve"> </v>
      </c>
      <c r="T300" s="109" t="str">
        <f>IFERROR(VLOOKUP(Open[[#This Row],[SM BE O/B 09.07.22 Rang]],$AJ$16:$AK$111,2,0)*T$5," ")</f>
        <v xml:space="preserve"> </v>
      </c>
      <c r="U300" s="11">
        <v>0</v>
      </c>
      <c r="V300" s="11">
        <v>0</v>
      </c>
      <c r="W300" s="11">
        <v>0</v>
      </c>
      <c r="X300" s="129"/>
      <c r="Y300" s="191"/>
      <c r="Z300" s="191"/>
      <c r="AA300" s="191"/>
      <c r="AB300" s="191"/>
      <c r="AC300" s="191"/>
      <c r="AD300" s="191"/>
      <c r="AE300" s="191"/>
      <c r="AF300" s="191"/>
    </row>
    <row r="301" spans="1:61" x14ac:dyDescent="0.2">
      <c r="A301" s="11">
        <v>173</v>
      </c>
      <c r="B301" s="11">
        <f>IF(Open[[#This Row],[PR Rang beim letzten Turnier]]&gt;Open[[#This Row],[PR Rang]],1,IF(Open[[#This Row],[PR Rang beim letzten Turnier]]=Open[[#This Row],[PR Rang]],0,-1))</f>
        <v>-1</v>
      </c>
      <c r="C301" s="147">
        <f>RANK(Open[[#This Row],[PR Punkte]],Open[PR Punkte],0)</f>
        <v>205</v>
      </c>
      <c r="D301" s="25" t="s">
        <v>252</v>
      </c>
      <c r="E301" s="11" t="s">
        <v>10</v>
      </c>
      <c r="F301" s="109">
        <f>SUM(Open[[#This Row],[PR 1]:[PR 3]])</f>
        <v>0</v>
      </c>
      <c r="G301" s="109">
        <f>LARGE(Open[[#This Row],[TS SH O 22.02.22]:[PR3]],1)</f>
        <v>0</v>
      </c>
      <c r="H301" s="109">
        <f>LARGE(Open[[#This Row],[TS SH O 22.02.22]:[PR3]],2)</f>
        <v>0</v>
      </c>
      <c r="I301" s="109">
        <f>LARGE(Open[[#This Row],[TS SH O 22.02.22]:[PR3]],3)</f>
        <v>0</v>
      </c>
      <c r="J301" s="31">
        <f>RANK(K301,$K$7:$K$295,0)</f>
        <v>205</v>
      </c>
      <c r="K301" s="109">
        <f>SUM(L301:W301)</f>
        <v>0</v>
      </c>
      <c r="L301" s="109" t="str">
        <f>IFERROR(VLOOKUP(Open[[#This Row],[TS SH 22.02.22 Rang]],$AJ$16:$AK$111,2,0)*L$5," ")</f>
        <v xml:space="preserve"> </v>
      </c>
      <c r="M301" s="109" t="str">
        <f>IFERROR(VLOOKUP(Open[[#This Row],[TS SH O 23.04.22 Rang]],$AJ$16:$AK$111,2,0)*M$5," ")</f>
        <v xml:space="preserve"> </v>
      </c>
      <c r="N301" s="109" t="str">
        <f>IFERROR(VLOOKUP(Open[[#This Row],[TS LA O 08.05.22 Rang]],$AJ$16:$AK$111,2,0)*N$5," ")</f>
        <v xml:space="preserve"> </v>
      </c>
      <c r="O301" s="109" t="str">
        <f>IFERROR(VLOOKUP(Open[[#This Row],[TS SG O 25.05.22 Rang]],$AJ$16:$AK$111,2,0)*O$5," ")</f>
        <v xml:space="preserve"> </v>
      </c>
      <c r="P301" s="109" t="str">
        <f>IFERROR(VLOOKUP(Open[[#This Row],[TS SH O 25.06.22 Rang]],$AJ$16:$AK$111,2,0)*P$5," ")</f>
        <v xml:space="preserve"> </v>
      </c>
      <c r="Q301" s="109" t="str">
        <f>IFERROR(VLOOKUP(Open[[#This Row],[TS ZH O/A 25.06.22 Rang]],$AJ$16:$AK$111,2,0)*Q$5," ")</f>
        <v xml:space="preserve"> </v>
      </c>
      <c r="R301" s="109" t="str">
        <f>IFERROR(VLOOKUP(Open[[#This Row],[TS ZH O/B 25.06.22 Rang]],$AJ$16:$AK$111,2,0)*R$5," ")</f>
        <v xml:space="preserve"> </v>
      </c>
      <c r="S301" s="109" t="str">
        <f>IFERROR(VLOOKUP(Open[[#This Row],[SM BE O/A 09.07.22 Rang]],$AJ$16:$AK$111,2,0)*S$5," ")</f>
        <v xml:space="preserve"> </v>
      </c>
      <c r="T301" s="109" t="str">
        <f>IFERROR(VLOOKUP(Open[[#This Row],[SM BE O/B 09.07.22 Rang]],$AJ$16:$AK$111,2,0)*T$5," ")</f>
        <v xml:space="preserve"> </v>
      </c>
      <c r="U301" s="11">
        <v>0</v>
      </c>
      <c r="V301" s="11">
        <v>0</v>
      </c>
      <c r="W301" s="11">
        <v>0</v>
      </c>
      <c r="X301" s="129"/>
      <c r="Y301" s="191"/>
      <c r="Z301" s="191"/>
      <c r="AA301" s="191"/>
      <c r="AB301" s="191"/>
      <c r="AC301" s="191"/>
      <c r="AD301" s="191"/>
      <c r="AE301" s="191"/>
      <c r="AF301" s="191"/>
    </row>
    <row r="302" spans="1:61" x14ac:dyDescent="0.2">
      <c r="A302" s="11">
        <v>173</v>
      </c>
      <c r="B302" s="11">
        <f>IF(Open[[#This Row],[PR Rang beim letzten Turnier]]&gt;Open[[#This Row],[PR Rang]],1,IF(Open[[#This Row],[PR Rang beim letzten Turnier]]=Open[[#This Row],[PR Rang]],0,-1))</f>
        <v>-1</v>
      </c>
      <c r="C302" s="147">
        <f>RANK(Open[[#This Row],[PR Punkte]],Open[PR Punkte],0)</f>
        <v>205</v>
      </c>
      <c r="D302" s="25" t="s">
        <v>259</v>
      </c>
      <c r="E302" s="31" t="s">
        <v>11</v>
      </c>
      <c r="F302" s="109">
        <f>SUM(Open[[#This Row],[PR 1]:[PR 3]])</f>
        <v>0</v>
      </c>
      <c r="G302" s="109">
        <f>LARGE(Open[[#This Row],[TS SH O 22.02.22]:[PR3]],1)</f>
        <v>0</v>
      </c>
      <c r="H302" s="109">
        <f>LARGE(Open[[#This Row],[TS SH O 22.02.22]:[PR3]],2)</f>
        <v>0</v>
      </c>
      <c r="I302" s="109">
        <f>LARGE(Open[[#This Row],[TS SH O 22.02.22]:[PR3]],3)</f>
        <v>0</v>
      </c>
      <c r="J302" s="31">
        <f>RANK(K302,$K$7:$K$295,0)</f>
        <v>205</v>
      </c>
      <c r="K302" s="109">
        <f>SUM(L302:W302)</f>
        <v>0</v>
      </c>
      <c r="L302" s="109" t="str">
        <f>IFERROR(VLOOKUP(Open[[#This Row],[TS SH 22.02.22 Rang]],$AJ$16:$AK$111,2,0)*L$5," ")</f>
        <v xml:space="preserve"> </v>
      </c>
      <c r="M302" s="109" t="str">
        <f>IFERROR(VLOOKUP(Open[[#This Row],[TS SH O 23.04.22 Rang]],$AJ$16:$AK$111,2,0)*M$5," ")</f>
        <v xml:space="preserve"> </v>
      </c>
      <c r="N302" s="109" t="str">
        <f>IFERROR(VLOOKUP(Open[[#This Row],[TS LA O 08.05.22 Rang]],$AJ$16:$AK$111,2,0)*N$5," ")</f>
        <v xml:space="preserve"> </v>
      </c>
      <c r="O302" s="109" t="str">
        <f>IFERROR(VLOOKUP(Open[[#This Row],[TS SG O 25.05.22 Rang]],$AJ$16:$AK$111,2,0)*O$5," ")</f>
        <v xml:space="preserve"> </v>
      </c>
      <c r="P302" s="109" t="str">
        <f>IFERROR(VLOOKUP(Open[[#This Row],[TS SH O 25.06.22 Rang]],$AJ$16:$AK$111,2,0)*P$5," ")</f>
        <v xml:space="preserve"> </v>
      </c>
      <c r="Q302" s="109" t="str">
        <f>IFERROR(VLOOKUP(Open[[#This Row],[TS ZH O/A 25.06.22 Rang]],$AJ$16:$AK$111,2,0)*Q$5," ")</f>
        <v xml:space="preserve"> </v>
      </c>
      <c r="R302" s="109" t="str">
        <f>IFERROR(VLOOKUP(Open[[#This Row],[TS ZH O/B 25.06.22 Rang]],$AJ$16:$AK$111,2,0)*R$5," ")</f>
        <v xml:space="preserve"> </v>
      </c>
      <c r="S302" s="109" t="str">
        <f>IFERROR(VLOOKUP(Open[[#This Row],[SM BE O/A 09.07.22 Rang]],$AJ$16:$AK$111,2,0)*S$5," ")</f>
        <v xml:space="preserve"> </v>
      </c>
      <c r="T302" s="109" t="str">
        <f>IFERROR(VLOOKUP(Open[[#This Row],[SM BE O/B 09.07.22 Rang]],$AJ$16:$AK$111,2,0)*T$5," ")</f>
        <v xml:space="preserve"> </v>
      </c>
      <c r="U302" s="11">
        <v>0</v>
      </c>
      <c r="V302" s="11">
        <v>0</v>
      </c>
      <c r="W302" s="11">
        <v>0</v>
      </c>
      <c r="X302" s="129"/>
      <c r="Y302" s="191"/>
      <c r="Z302" s="191"/>
      <c r="AA302" s="191"/>
      <c r="AB302" s="191"/>
      <c r="AC302" s="191"/>
      <c r="AD302" s="191"/>
      <c r="AE302" s="191"/>
      <c r="AF302" s="191"/>
    </row>
    <row r="303" spans="1:61" x14ac:dyDescent="0.2">
      <c r="A303" s="11">
        <v>173</v>
      </c>
      <c r="B303" s="11">
        <f>IF(Open[[#This Row],[PR Rang beim letzten Turnier]]&gt;Open[[#This Row],[PR Rang]],1,IF(Open[[#This Row],[PR Rang beim letzten Turnier]]=Open[[#This Row],[PR Rang]],0,-1))</f>
        <v>-1</v>
      </c>
      <c r="C303" s="147">
        <f>RANK(Open[[#This Row],[PR Punkte]],Open[PR Punkte],0)</f>
        <v>205</v>
      </c>
      <c r="D303" s="25" t="s">
        <v>244</v>
      </c>
      <c r="E303" s="31" t="s">
        <v>14</v>
      </c>
      <c r="F303" s="109">
        <f>SUM(Open[[#This Row],[PR 1]:[PR 3]])</f>
        <v>0</v>
      </c>
      <c r="G303" s="109">
        <f>LARGE(Open[[#This Row],[TS SH O 22.02.22]:[PR3]],1)</f>
        <v>0</v>
      </c>
      <c r="H303" s="109">
        <f>LARGE(Open[[#This Row],[TS SH O 22.02.22]:[PR3]],2)</f>
        <v>0</v>
      </c>
      <c r="I303" s="109">
        <f>LARGE(Open[[#This Row],[TS SH O 22.02.22]:[PR3]],3)</f>
        <v>0</v>
      </c>
      <c r="J303" s="31">
        <f>RANK(K303,$K$7:$K$295,0)</f>
        <v>205</v>
      </c>
      <c r="K303" s="109">
        <f>SUM(L303:W303)</f>
        <v>0</v>
      </c>
      <c r="L303" s="109" t="str">
        <f>IFERROR(VLOOKUP(Open[[#This Row],[TS SH 22.02.22 Rang]],$AJ$16:$AK$111,2,0)*L$5," ")</f>
        <v xml:space="preserve"> </v>
      </c>
      <c r="M303" s="109" t="str">
        <f>IFERROR(VLOOKUP(Open[[#This Row],[TS SH O 23.04.22 Rang]],$AJ$16:$AK$111,2,0)*M$5," ")</f>
        <v xml:space="preserve"> </v>
      </c>
      <c r="N303" s="109" t="str">
        <f>IFERROR(VLOOKUP(Open[[#This Row],[TS LA O 08.05.22 Rang]],$AJ$16:$AK$111,2,0)*N$5," ")</f>
        <v xml:space="preserve"> </v>
      </c>
      <c r="O303" s="109" t="str">
        <f>IFERROR(VLOOKUP(Open[[#This Row],[TS SG O 25.05.22 Rang]],$AJ$16:$AK$111,2,0)*O$5," ")</f>
        <v xml:space="preserve"> </v>
      </c>
      <c r="P303" s="109" t="str">
        <f>IFERROR(VLOOKUP(Open[[#This Row],[TS SH O 25.06.22 Rang]],$AJ$16:$AK$111,2,0)*P$5," ")</f>
        <v xml:space="preserve"> </v>
      </c>
      <c r="Q303" s="109" t="str">
        <f>IFERROR(VLOOKUP(Open[[#This Row],[TS ZH O/A 25.06.22 Rang]],$AJ$16:$AK$111,2,0)*Q$5," ")</f>
        <v xml:space="preserve"> </v>
      </c>
      <c r="R303" s="109" t="str">
        <f>IFERROR(VLOOKUP(Open[[#This Row],[TS ZH O/B 25.06.22 Rang]],$AJ$16:$AK$111,2,0)*R$5," ")</f>
        <v xml:space="preserve"> </v>
      </c>
      <c r="S303" s="109" t="str">
        <f>IFERROR(VLOOKUP(Open[[#This Row],[SM BE O/A 09.07.22 Rang]],$AJ$16:$AK$111,2,0)*S$5," ")</f>
        <v xml:space="preserve"> </v>
      </c>
      <c r="T303" s="109" t="str">
        <f>IFERROR(VLOOKUP(Open[[#This Row],[SM BE O/B 09.07.22 Rang]],$AJ$16:$AK$111,2,0)*T$5," ")</f>
        <v xml:space="preserve"> </v>
      </c>
      <c r="U303" s="11">
        <v>0</v>
      </c>
      <c r="V303" s="11">
        <v>0</v>
      </c>
      <c r="W303" s="11">
        <v>0</v>
      </c>
      <c r="X303" s="129"/>
      <c r="Y303" s="191"/>
      <c r="Z303" s="191"/>
      <c r="AA303" s="191"/>
      <c r="AB303" s="191"/>
      <c r="AC303" s="191"/>
      <c r="AD303" s="191"/>
      <c r="AE303" s="191"/>
      <c r="AF303" s="191"/>
    </row>
    <row r="304" spans="1:61" x14ac:dyDescent="0.2">
      <c r="A304" s="11">
        <v>173</v>
      </c>
      <c r="B304" s="11">
        <f>IF(Open[[#This Row],[PR Rang beim letzten Turnier]]&gt;Open[[#This Row],[PR Rang]],1,IF(Open[[#This Row],[PR Rang beim letzten Turnier]]=Open[[#This Row],[PR Rang]],0,-1))</f>
        <v>-1</v>
      </c>
      <c r="C304" s="147">
        <f>RANK(Open[[#This Row],[PR Punkte]],Open[PR Punkte],0)</f>
        <v>205</v>
      </c>
      <c r="D304" s="25" t="s">
        <v>258</v>
      </c>
      <c r="E304" s="31" t="s">
        <v>11</v>
      </c>
      <c r="F304" s="109">
        <f>SUM(Open[[#This Row],[PR 1]:[PR 3]])</f>
        <v>0</v>
      </c>
      <c r="G304" s="109">
        <f>LARGE(Open[[#This Row],[TS SH O 22.02.22]:[PR3]],1)</f>
        <v>0</v>
      </c>
      <c r="H304" s="109">
        <f>LARGE(Open[[#This Row],[TS SH O 22.02.22]:[PR3]],2)</f>
        <v>0</v>
      </c>
      <c r="I304" s="109">
        <f>LARGE(Open[[#This Row],[TS SH O 22.02.22]:[PR3]],3)</f>
        <v>0</v>
      </c>
      <c r="J304" s="31">
        <f>RANK(K304,$K$7:$K$295,0)</f>
        <v>205</v>
      </c>
      <c r="K304" s="109">
        <f>SUM(L304:W304)</f>
        <v>0</v>
      </c>
      <c r="L304" s="109" t="str">
        <f>IFERROR(VLOOKUP(Open[[#This Row],[TS SH 22.02.22 Rang]],$AJ$16:$AK$111,2,0)*L$5," ")</f>
        <v xml:space="preserve"> </v>
      </c>
      <c r="M304" s="109" t="str">
        <f>IFERROR(VLOOKUP(Open[[#This Row],[TS SH O 23.04.22 Rang]],$AJ$16:$AK$111,2,0)*M$5," ")</f>
        <v xml:space="preserve"> </v>
      </c>
      <c r="N304" s="109" t="str">
        <f>IFERROR(VLOOKUP(Open[[#This Row],[TS LA O 08.05.22 Rang]],$AJ$16:$AK$111,2,0)*N$5," ")</f>
        <v xml:space="preserve"> </v>
      </c>
      <c r="O304" s="109" t="str">
        <f>IFERROR(VLOOKUP(Open[[#This Row],[TS SG O 25.05.22 Rang]],$AJ$16:$AK$111,2,0)*O$5," ")</f>
        <v xml:space="preserve"> </v>
      </c>
      <c r="P304" s="109" t="str">
        <f>IFERROR(VLOOKUP(Open[[#This Row],[TS SH O 25.06.22 Rang]],$AJ$16:$AK$111,2,0)*P$5," ")</f>
        <v xml:space="preserve"> </v>
      </c>
      <c r="Q304" s="109" t="str">
        <f>IFERROR(VLOOKUP(Open[[#This Row],[TS ZH O/A 25.06.22 Rang]],$AJ$16:$AK$111,2,0)*Q$5," ")</f>
        <v xml:space="preserve"> </v>
      </c>
      <c r="R304" s="109" t="str">
        <f>IFERROR(VLOOKUP(Open[[#This Row],[TS ZH O/B 25.06.22 Rang]],$AJ$16:$AK$111,2,0)*R$5," ")</f>
        <v xml:space="preserve"> </v>
      </c>
      <c r="S304" s="109" t="str">
        <f>IFERROR(VLOOKUP(Open[[#This Row],[SM BE O/A 09.07.22 Rang]],$AJ$16:$AK$111,2,0)*S$5," ")</f>
        <v xml:space="preserve"> </v>
      </c>
      <c r="T304" s="109" t="str">
        <f>IFERROR(VLOOKUP(Open[[#This Row],[SM BE O/B 09.07.22 Rang]],$AJ$16:$AK$111,2,0)*T$5," ")</f>
        <v xml:space="preserve"> </v>
      </c>
      <c r="U304" s="11">
        <v>0</v>
      </c>
      <c r="V304" s="11">
        <v>0</v>
      </c>
      <c r="W304" s="11">
        <v>0</v>
      </c>
      <c r="X304" s="129"/>
      <c r="Y304" s="191"/>
      <c r="Z304" s="191"/>
      <c r="AA304" s="191"/>
      <c r="AB304" s="191"/>
      <c r="AC304" s="191"/>
      <c r="AD304" s="191"/>
      <c r="AE304" s="191"/>
      <c r="AF304" s="191"/>
    </row>
    <row r="305" spans="1:32" x14ac:dyDescent="0.2">
      <c r="A305" s="11">
        <v>173</v>
      </c>
      <c r="B305" s="11">
        <f>IF(Open[[#This Row],[PR Rang beim letzten Turnier]]&gt;Open[[#This Row],[PR Rang]],1,IF(Open[[#This Row],[PR Rang beim letzten Turnier]]=Open[[#This Row],[PR Rang]],0,-1))</f>
        <v>-1</v>
      </c>
      <c r="C305" s="147">
        <f>RANK(Open[[#This Row],[PR Punkte]],Open[PR Punkte],0)</f>
        <v>205</v>
      </c>
      <c r="D305" s="25" t="s">
        <v>264</v>
      </c>
      <c r="E305" s="31" t="s">
        <v>11</v>
      </c>
      <c r="F305" s="109">
        <f>SUM(Open[[#This Row],[PR 1]:[PR 3]])</f>
        <v>0</v>
      </c>
      <c r="G305" s="109">
        <f>LARGE(Open[[#This Row],[TS SH O 22.02.22]:[PR3]],1)</f>
        <v>0</v>
      </c>
      <c r="H305" s="109">
        <f>LARGE(Open[[#This Row],[TS SH O 22.02.22]:[PR3]],2)</f>
        <v>0</v>
      </c>
      <c r="I305" s="109">
        <f>LARGE(Open[[#This Row],[TS SH O 22.02.22]:[PR3]],3)</f>
        <v>0</v>
      </c>
      <c r="J305" s="31">
        <f>RANK(K305,$K$7:$K$295,0)</f>
        <v>205</v>
      </c>
      <c r="K305" s="109">
        <f>SUM(L305:W305)</f>
        <v>0</v>
      </c>
      <c r="L305" s="109" t="str">
        <f>IFERROR(VLOOKUP(Open[[#This Row],[TS SH 22.02.22 Rang]],$AJ$16:$AK$111,2,0)*L$5," ")</f>
        <v xml:space="preserve"> </v>
      </c>
      <c r="M305" s="109" t="str">
        <f>IFERROR(VLOOKUP(Open[[#This Row],[TS SH O 23.04.22 Rang]],$AJ$16:$AK$111,2,0)*M$5," ")</f>
        <v xml:space="preserve"> </v>
      </c>
      <c r="N305" s="109" t="str">
        <f>IFERROR(VLOOKUP(Open[[#This Row],[TS LA O 08.05.22 Rang]],$AJ$16:$AK$111,2,0)*N$5," ")</f>
        <v xml:space="preserve"> </v>
      </c>
      <c r="O305" s="109" t="str">
        <f>IFERROR(VLOOKUP(Open[[#This Row],[TS SG O 25.05.22 Rang]],$AJ$16:$AK$111,2,0)*O$5," ")</f>
        <v xml:space="preserve"> </v>
      </c>
      <c r="P305" s="109" t="str">
        <f>IFERROR(VLOOKUP(Open[[#This Row],[TS SH O 25.06.22 Rang]],$AJ$16:$AK$111,2,0)*P$5," ")</f>
        <v xml:space="preserve"> </v>
      </c>
      <c r="Q305" s="109" t="str">
        <f>IFERROR(VLOOKUP(Open[[#This Row],[TS ZH O/A 25.06.22 Rang]],$AJ$16:$AK$111,2,0)*Q$5," ")</f>
        <v xml:space="preserve"> </v>
      </c>
      <c r="R305" s="109" t="str">
        <f>IFERROR(VLOOKUP(Open[[#This Row],[TS ZH O/B 25.06.22 Rang]],$AJ$16:$AK$111,2,0)*R$5," ")</f>
        <v xml:space="preserve"> </v>
      </c>
      <c r="S305" s="109" t="str">
        <f>IFERROR(VLOOKUP(Open[[#This Row],[SM BE O/A 09.07.22 Rang]],$AJ$16:$AK$111,2,0)*S$5," ")</f>
        <v xml:space="preserve"> </v>
      </c>
      <c r="T305" s="109" t="str">
        <f>IFERROR(VLOOKUP(Open[[#This Row],[SM BE O/B 09.07.22 Rang]],$AJ$16:$AK$111,2,0)*T$5," ")</f>
        <v xml:space="preserve"> </v>
      </c>
      <c r="U305" s="11">
        <v>0</v>
      </c>
      <c r="V305" s="11">
        <v>0</v>
      </c>
      <c r="W305" s="11">
        <v>0</v>
      </c>
      <c r="X305" s="129"/>
      <c r="Y305" s="191"/>
      <c r="Z305" s="191"/>
      <c r="AA305" s="191"/>
      <c r="AB305" s="191"/>
      <c r="AC305" s="191"/>
      <c r="AD305" s="191"/>
      <c r="AE305" s="191"/>
      <c r="AF305" s="191"/>
    </row>
    <row r="306" spans="1:32" x14ac:dyDescent="0.2">
      <c r="A306" s="11">
        <v>173</v>
      </c>
      <c r="B306" s="11">
        <f>IF(Open[[#This Row],[PR Rang beim letzten Turnier]]&gt;Open[[#This Row],[PR Rang]],1,IF(Open[[#This Row],[PR Rang beim letzten Turnier]]=Open[[#This Row],[PR Rang]],0,-1))</f>
        <v>-1</v>
      </c>
      <c r="C306" s="147">
        <f>RANK(Open[[#This Row],[PR Punkte]],Open[PR Punkte],0)</f>
        <v>205</v>
      </c>
      <c r="D306" s="27" t="s">
        <v>292</v>
      </c>
      <c r="E306" s="9" t="s">
        <v>11</v>
      </c>
      <c r="F306" s="109">
        <f>SUM(Open[[#This Row],[PR 1]:[PR 3]])</f>
        <v>0</v>
      </c>
      <c r="G306" s="109">
        <f>LARGE(Open[[#This Row],[TS SH O 22.02.22]:[PR3]],1)</f>
        <v>0</v>
      </c>
      <c r="H306" s="109">
        <f>LARGE(Open[[#This Row],[TS SH O 22.02.22]:[PR3]],2)</f>
        <v>0</v>
      </c>
      <c r="I306" s="109">
        <f>LARGE(Open[[#This Row],[TS SH O 22.02.22]:[PR3]],3)</f>
        <v>0</v>
      </c>
      <c r="J306" s="9">
        <f>RANK(K306,$K$7:$K$295,0)</f>
        <v>205</v>
      </c>
      <c r="K306" s="109">
        <f>SUM(L306:W306)</f>
        <v>0</v>
      </c>
      <c r="L306" s="109" t="str">
        <f>IFERROR(VLOOKUP(Open[[#This Row],[TS SH 22.02.22 Rang]],$AJ$16:$AK$111,2,0)*L$5," ")</f>
        <v xml:space="preserve"> </v>
      </c>
      <c r="M306" s="109" t="str">
        <f>IFERROR(VLOOKUP(Open[[#This Row],[TS SH O 23.04.22 Rang]],$AJ$16:$AK$111,2,0)*M$5," ")</f>
        <v xml:space="preserve"> </v>
      </c>
      <c r="N306" s="109" t="str">
        <f>IFERROR(VLOOKUP(Open[[#This Row],[TS LA O 08.05.22 Rang]],$AJ$16:$AK$111,2,0)*N$5," ")</f>
        <v xml:space="preserve"> </v>
      </c>
      <c r="O306" s="109" t="str">
        <f>IFERROR(VLOOKUP(Open[[#This Row],[TS SG O 25.05.22 Rang]],$AJ$16:$AK$111,2,0)*O$5," ")</f>
        <v xml:space="preserve"> </v>
      </c>
      <c r="P306" s="109" t="str">
        <f>IFERROR(VLOOKUP(Open[[#This Row],[TS SH O 25.06.22 Rang]],$AJ$16:$AK$111,2,0)*P$5," ")</f>
        <v xml:space="preserve"> </v>
      </c>
      <c r="Q306" s="109" t="str">
        <f>IFERROR(VLOOKUP(Open[[#This Row],[TS ZH O/A 25.06.22 Rang]],$AJ$16:$AK$111,2,0)*Q$5," ")</f>
        <v xml:space="preserve"> </v>
      </c>
      <c r="R306" s="109" t="str">
        <f>IFERROR(VLOOKUP(Open[[#This Row],[TS ZH O/B 25.06.22 Rang]],$AJ$16:$AK$111,2,0)*R$5," ")</f>
        <v xml:space="preserve"> </v>
      </c>
      <c r="S306" s="109" t="str">
        <f>IFERROR(VLOOKUP(Open[[#This Row],[SM BE O/A 09.07.22 Rang]],$AJ$16:$AK$111,2,0)*S$5," ")</f>
        <v xml:space="preserve"> </v>
      </c>
      <c r="T306" s="109" t="str">
        <f>IFERROR(VLOOKUP(Open[[#This Row],[SM BE O/B 09.07.22 Rang]],$AJ$16:$AK$111,2,0)*T$5," ")</f>
        <v xml:space="preserve"> </v>
      </c>
      <c r="U306" s="11">
        <v>0</v>
      </c>
      <c r="V306" s="11">
        <v>0</v>
      </c>
      <c r="W306" s="11">
        <v>0</v>
      </c>
      <c r="X306" s="129"/>
      <c r="Y306" s="191"/>
      <c r="Z306" s="191"/>
      <c r="AA306" s="191"/>
      <c r="AB306" s="191"/>
      <c r="AC306" s="191"/>
      <c r="AD306" s="191"/>
      <c r="AE306" s="191"/>
      <c r="AF306" s="191"/>
    </row>
    <row r="307" spans="1:32" x14ac:dyDescent="0.2">
      <c r="A307" s="11">
        <v>173</v>
      </c>
      <c r="B307" s="11">
        <f>IF(Open[[#This Row],[PR Rang beim letzten Turnier]]&gt;Open[[#This Row],[PR Rang]],1,IF(Open[[#This Row],[PR Rang beim letzten Turnier]]=Open[[#This Row],[PR Rang]],0,-1))</f>
        <v>-1</v>
      </c>
      <c r="C307" s="147">
        <f>RANK(Open[[#This Row],[PR Punkte]],Open[PR Punkte],0)</f>
        <v>205</v>
      </c>
      <c r="D307" s="25" t="s">
        <v>278</v>
      </c>
      <c r="E307" s="31" t="s">
        <v>14</v>
      </c>
      <c r="F307" s="109">
        <f>SUM(Open[[#This Row],[PR 1]:[PR 3]])</f>
        <v>0</v>
      </c>
      <c r="G307" s="109">
        <f>LARGE(Open[[#This Row],[TS SH O 22.02.22]:[PR3]],1)</f>
        <v>0</v>
      </c>
      <c r="H307" s="109">
        <f>LARGE(Open[[#This Row],[TS SH O 22.02.22]:[PR3]],2)</f>
        <v>0</v>
      </c>
      <c r="I307" s="109">
        <f>LARGE(Open[[#This Row],[TS SH O 22.02.22]:[PR3]],3)</f>
        <v>0</v>
      </c>
      <c r="J307" s="31">
        <f>RANK(K307,$K$7:$K$295,0)</f>
        <v>205</v>
      </c>
      <c r="K307" s="109">
        <f>SUM(L307:W307)</f>
        <v>0</v>
      </c>
      <c r="L307" s="109" t="str">
        <f>IFERROR(VLOOKUP(Open[[#This Row],[TS SH 22.02.22 Rang]],$AJ$16:$AK$111,2,0)*L$5," ")</f>
        <v xml:space="preserve"> </v>
      </c>
      <c r="M307" s="109" t="str">
        <f>IFERROR(VLOOKUP(Open[[#This Row],[TS SH O 23.04.22 Rang]],$AJ$16:$AK$111,2,0)*M$5," ")</f>
        <v xml:space="preserve"> </v>
      </c>
      <c r="N307" s="109" t="str">
        <f>IFERROR(VLOOKUP(Open[[#This Row],[TS LA O 08.05.22 Rang]],$AJ$16:$AK$111,2,0)*N$5," ")</f>
        <v xml:space="preserve"> </v>
      </c>
      <c r="O307" s="109" t="str">
        <f>IFERROR(VLOOKUP(Open[[#This Row],[TS SG O 25.05.22 Rang]],$AJ$16:$AK$111,2,0)*O$5," ")</f>
        <v xml:space="preserve"> </v>
      </c>
      <c r="P307" s="109" t="str">
        <f>IFERROR(VLOOKUP(Open[[#This Row],[TS SH O 25.06.22 Rang]],$AJ$16:$AK$111,2,0)*P$5," ")</f>
        <v xml:space="preserve"> </v>
      </c>
      <c r="Q307" s="109" t="str">
        <f>IFERROR(VLOOKUP(Open[[#This Row],[TS ZH O/A 25.06.22 Rang]],$AJ$16:$AK$111,2,0)*Q$5," ")</f>
        <v xml:space="preserve"> </v>
      </c>
      <c r="R307" s="109" t="str">
        <f>IFERROR(VLOOKUP(Open[[#This Row],[TS ZH O/B 25.06.22 Rang]],$AJ$16:$AK$111,2,0)*R$5," ")</f>
        <v xml:space="preserve"> </v>
      </c>
      <c r="S307" s="109" t="str">
        <f>IFERROR(VLOOKUP(Open[[#This Row],[SM BE O/A 09.07.22 Rang]],$AJ$16:$AK$111,2,0)*S$5," ")</f>
        <v xml:space="preserve"> </v>
      </c>
      <c r="T307" s="109" t="str">
        <f>IFERROR(VLOOKUP(Open[[#This Row],[SM BE O/B 09.07.22 Rang]],$AJ$16:$AK$111,2,0)*T$5," ")</f>
        <v xml:space="preserve"> </v>
      </c>
      <c r="U307" s="11">
        <v>0</v>
      </c>
      <c r="V307" s="11">
        <v>0</v>
      </c>
      <c r="W307" s="11">
        <v>0</v>
      </c>
      <c r="X307" s="129"/>
      <c r="Y307" s="191"/>
      <c r="Z307" s="191"/>
      <c r="AA307" s="191"/>
      <c r="AB307" s="191"/>
      <c r="AC307" s="191"/>
      <c r="AD307" s="191"/>
      <c r="AE307" s="191"/>
      <c r="AF307" s="191"/>
    </row>
    <row r="308" spans="1:32" x14ac:dyDescent="0.2">
      <c r="A308" s="11">
        <v>173</v>
      </c>
      <c r="B308" s="11">
        <f>IF(Open[[#This Row],[PR Rang beim letzten Turnier]]&gt;Open[[#This Row],[PR Rang]],1,IF(Open[[#This Row],[PR Rang beim letzten Turnier]]=Open[[#This Row],[PR Rang]],0,-1))</f>
        <v>-1</v>
      </c>
      <c r="C308" s="147">
        <f>RANK(Open[[#This Row],[PR Punkte]],Open[PR Punkte],0)</f>
        <v>205</v>
      </c>
      <c r="D308" s="25" t="s">
        <v>248</v>
      </c>
      <c r="E308" s="31" t="s">
        <v>11</v>
      </c>
      <c r="F308" s="109">
        <f>SUM(Open[[#This Row],[PR 1]:[PR 3]])</f>
        <v>0</v>
      </c>
      <c r="G308" s="109">
        <f>LARGE(Open[[#This Row],[TS SH O 22.02.22]:[PR3]],1)</f>
        <v>0</v>
      </c>
      <c r="H308" s="109">
        <f>LARGE(Open[[#This Row],[TS SH O 22.02.22]:[PR3]],2)</f>
        <v>0</v>
      </c>
      <c r="I308" s="109">
        <f>LARGE(Open[[#This Row],[TS SH O 22.02.22]:[PR3]],3)</f>
        <v>0</v>
      </c>
      <c r="J308" s="31">
        <f>RANK(K308,$K$7:$K$295,0)</f>
        <v>205</v>
      </c>
      <c r="K308" s="109">
        <f>SUM(L308:W308)</f>
        <v>0</v>
      </c>
      <c r="L308" s="109" t="str">
        <f>IFERROR(VLOOKUP(Open[[#This Row],[TS SH 22.02.22 Rang]],$AJ$16:$AK$111,2,0)*L$5," ")</f>
        <v xml:space="preserve"> </v>
      </c>
      <c r="M308" s="109" t="str">
        <f>IFERROR(VLOOKUP(Open[[#This Row],[TS SH O 23.04.22 Rang]],$AJ$16:$AK$111,2,0)*M$5," ")</f>
        <v xml:space="preserve"> </v>
      </c>
      <c r="N308" s="109" t="str">
        <f>IFERROR(VLOOKUP(Open[[#This Row],[TS LA O 08.05.22 Rang]],$AJ$16:$AK$111,2,0)*N$5," ")</f>
        <v xml:space="preserve"> </v>
      </c>
      <c r="O308" s="109" t="str">
        <f>IFERROR(VLOOKUP(Open[[#This Row],[TS SG O 25.05.22 Rang]],$AJ$16:$AK$111,2,0)*O$5," ")</f>
        <v xml:space="preserve"> </v>
      </c>
      <c r="P308" s="109" t="str">
        <f>IFERROR(VLOOKUP(Open[[#This Row],[TS SH O 25.06.22 Rang]],$AJ$16:$AK$111,2,0)*P$5," ")</f>
        <v xml:space="preserve"> </v>
      </c>
      <c r="Q308" s="109" t="str">
        <f>IFERROR(VLOOKUP(Open[[#This Row],[TS ZH O/A 25.06.22 Rang]],$AJ$16:$AK$111,2,0)*Q$5," ")</f>
        <v xml:space="preserve"> </v>
      </c>
      <c r="R308" s="109" t="str">
        <f>IFERROR(VLOOKUP(Open[[#This Row],[TS ZH O/B 25.06.22 Rang]],$AJ$16:$AK$111,2,0)*R$5," ")</f>
        <v xml:space="preserve"> </v>
      </c>
      <c r="S308" s="109" t="str">
        <f>IFERROR(VLOOKUP(Open[[#This Row],[SM BE O/A 09.07.22 Rang]],$AJ$16:$AK$111,2,0)*S$5," ")</f>
        <v xml:space="preserve"> </v>
      </c>
      <c r="T308" s="109" t="str">
        <f>IFERROR(VLOOKUP(Open[[#This Row],[SM BE O/B 09.07.22 Rang]],$AJ$16:$AK$111,2,0)*T$5," ")</f>
        <v xml:space="preserve"> </v>
      </c>
      <c r="U308" s="11">
        <v>0</v>
      </c>
      <c r="V308" s="11">
        <v>0</v>
      </c>
      <c r="W308" s="11">
        <v>0</v>
      </c>
      <c r="X308" s="129"/>
      <c r="Y308" s="191"/>
      <c r="Z308" s="191"/>
      <c r="AA308" s="191"/>
      <c r="AB308" s="191"/>
      <c r="AC308" s="191"/>
      <c r="AD308" s="191"/>
      <c r="AE308" s="191"/>
      <c r="AF308" s="191"/>
    </row>
    <row r="309" spans="1:32" x14ac:dyDescent="0.2">
      <c r="A309" s="11">
        <v>173</v>
      </c>
      <c r="B309" s="11">
        <f>IF(Open[[#This Row],[PR Rang beim letzten Turnier]]&gt;Open[[#This Row],[PR Rang]],1,IF(Open[[#This Row],[PR Rang beim letzten Turnier]]=Open[[#This Row],[PR Rang]],0,-1))</f>
        <v>-1</v>
      </c>
      <c r="C309" s="147">
        <f>RANK(Open[[#This Row],[PR Punkte]],Open[PR Punkte],0)</f>
        <v>205</v>
      </c>
      <c r="D309" s="25" t="s">
        <v>263</v>
      </c>
      <c r="E309" s="31" t="s">
        <v>11</v>
      </c>
      <c r="F309" s="109">
        <f>SUM(Open[[#This Row],[PR 1]:[PR 3]])</f>
        <v>0</v>
      </c>
      <c r="G309" s="109">
        <f>LARGE(Open[[#This Row],[TS SH O 22.02.22]:[PR3]],1)</f>
        <v>0</v>
      </c>
      <c r="H309" s="109">
        <f>LARGE(Open[[#This Row],[TS SH O 22.02.22]:[PR3]],2)</f>
        <v>0</v>
      </c>
      <c r="I309" s="109">
        <f>LARGE(Open[[#This Row],[TS SH O 22.02.22]:[PR3]],3)</f>
        <v>0</v>
      </c>
      <c r="J309" s="31">
        <f>RANK(K309,$K$7:$K$295,0)</f>
        <v>205</v>
      </c>
      <c r="K309" s="109">
        <f>SUM(L309:W309)</f>
        <v>0</v>
      </c>
      <c r="L309" s="109" t="str">
        <f>IFERROR(VLOOKUP(Open[[#This Row],[TS SH 22.02.22 Rang]],$AJ$16:$AK$111,2,0)*L$5," ")</f>
        <v xml:space="preserve"> </v>
      </c>
      <c r="M309" s="109" t="str">
        <f>IFERROR(VLOOKUP(Open[[#This Row],[TS SH O 23.04.22 Rang]],$AJ$16:$AK$111,2,0)*M$5," ")</f>
        <v xml:space="preserve"> </v>
      </c>
      <c r="N309" s="109" t="str">
        <f>IFERROR(VLOOKUP(Open[[#This Row],[TS LA O 08.05.22 Rang]],$AJ$16:$AK$111,2,0)*N$5," ")</f>
        <v xml:space="preserve"> </v>
      </c>
      <c r="O309" s="109" t="str">
        <f>IFERROR(VLOOKUP(Open[[#This Row],[TS SG O 25.05.22 Rang]],$AJ$16:$AK$111,2,0)*O$5," ")</f>
        <v xml:space="preserve"> </v>
      </c>
      <c r="P309" s="109" t="str">
        <f>IFERROR(VLOOKUP(Open[[#This Row],[TS SH O 25.06.22 Rang]],$AJ$16:$AK$111,2,0)*P$5," ")</f>
        <v xml:space="preserve"> </v>
      </c>
      <c r="Q309" s="109" t="str">
        <f>IFERROR(VLOOKUP(Open[[#This Row],[TS ZH O/A 25.06.22 Rang]],$AJ$16:$AK$111,2,0)*Q$5," ")</f>
        <v xml:space="preserve"> </v>
      </c>
      <c r="R309" s="109" t="str">
        <f>IFERROR(VLOOKUP(Open[[#This Row],[TS ZH O/B 25.06.22 Rang]],$AJ$16:$AK$111,2,0)*R$5," ")</f>
        <v xml:space="preserve"> </v>
      </c>
      <c r="S309" s="109" t="str">
        <f>IFERROR(VLOOKUP(Open[[#This Row],[SM BE O/A 09.07.22 Rang]],$AJ$16:$AK$111,2,0)*S$5," ")</f>
        <v xml:space="preserve"> </v>
      </c>
      <c r="T309" s="109" t="str">
        <f>IFERROR(VLOOKUP(Open[[#This Row],[SM BE O/B 09.07.22 Rang]],$AJ$16:$AK$111,2,0)*T$5," ")</f>
        <v xml:space="preserve"> </v>
      </c>
      <c r="U309" s="11">
        <v>0</v>
      </c>
      <c r="V309" s="11">
        <v>0</v>
      </c>
      <c r="W309" s="11">
        <v>0</v>
      </c>
      <c r="X309" s="129"/>
      <c r="Y309" s="191"/>
      <c r="Z309" s="191"/>
      <c r="AA309" s="191"/>
      <c r="AB309" s="191"/>
      <c r="AC309" s="191"/>
      <c r="AD309" s="191"/>
      <c r="AE309" s="191"/>
      <c r="AF309" s="191"/>
    </row>
    <row r="310" spans="1:32" x14ac:dyDescent="0.2">
      <c r="A310" s="11">
        <v>173</v>
      </c>
      <c r="B310" s="11">
        <f>IF(Open[[#This Row],[PR Rang beim letzten Turnier]]&gt;Open[[#This Row],[PR Rang]],1,IF(Open[[#This Row],[PR Rang beim letzten Turnier]]=Open[[#This Row],[PR Rang]],0,-1))</f>
        <v>-1</v>
      </c>
      <c r="C310" s="147">
        <f>RANK(Open[[#This Row],[PR Punkte]],Open[PR Punkte],0)</f>
        <v>205</v>
      </c>
      <c r="D310" s="25" t="s">
        <v>256</v>
      </c>
      <c r="E310" s="31" t="s">
        <v>0</v>
      </c>
      <c r="F310" s="109">
        <f>SUM(Open[[#This Row],[PR 1]:[PR 3]])</f>
        <v>0</v>
      </c>
      <c r="G310" s="109">
        <f>LARGE(Open[[#This Row],[TS SH O 22.02.22]:[PR3]],1)</f>
        <v>0</v>
      </c>
      <c r="H310" s="109">
        <f>LARGE(Open[[#This Row],[TS SH O 22.02.22]:[PR3]],2)</f>
        <v>0</v>
      </c>
      <c r="I310" s="109">
        <f>LARGE(Open[[#This Row],[TS SH O 22.02.22]:[PR3]],3)</f>
        <v>0</v>
      </c>
      <c r="J310" s="31">
        <f>RANK(K310,$K$7:$K$295,0)</f>
        <v>205</v>
      </c>
      <c r="K310" s="109">
        <f>SUM(L310:W310)</f>
        <v>0</v>
      </c>
      <c r="L310" s="109" t="str">
        <f>IFERROR(VLOOKUP(Open[[#This Row],[TS SH 22.02.22 Rang]],$AJ$16:$AK$111,2,0)*L$5," ")</f>
        <v xml:space="preserve"> </v>
      </c>
      <c r="M310" s="109" t="str">
        <f>IFERROR(VLOOKUP(Open[[#This Row],[TS SH O 23.04.22 Rang]],$AJ$16:$AK$111,2,0)*M$5," ")</f>
        <v xml:space="preserve"> </v>
      </c>
      <c r="N310" s="109" t="str">
        <f>IFERROR(VLOOKUP(Open[[#This Row],[TS LA O 08.05.22 Rang]],$AJ$16:$AK$111,2,0)*N$5," ")</f>
        <v xml:space="preserve"> </v>
      </c>
      <c r="O310" s="109" t="str">
        <f>IFERROR(VLOOKUP(Open[[#This Row],[TS SG O 25.05.22 Rang]],$AJ$16:$AK$111,2,0)*O$5," ")</f>
        <v xml:space="preserve"> </v>
      </c>
      <c r="P310" s="109" t="str">
        <f>IFERROR(VLOOKUP(Open[[#This Row],[TS SH O 25.06.22 Rang]],$AJ$16:$AK$111,2,0)*P$5," ")</f>
        <v xml:space="preserve"> </v>
      </c>
      <c r="Q310" s="109" t="str">
        <f>IFERROR(VLOOKUP(Open[[#This Row],[TS ZH O/A 25.06.22 Rang]],$AJ$16:$AK$111,2,0)*Q$5," ")</f>
        <v xml:space="preserve"> </v>
      </c>
      <c r="R310" s="109" t="str">
        <f>IFERROR(VLOOKUP(Open[[#This Row],[TS ZH O/B 25.06.22 Rang]],$AJ$16:$AK$111,2,0)*R$5," ")</f>
        <v xml:space="preserve"> </v>
      </c>
      <c r="S310" s="109" t="str">
        <f>IFERROR(VLOOKUP(Open[[#This Row],[SM BE O/A 09.07.22 Rang]],$AJ$16:$AK$111,2,0)*S$5," ")</f>
        <v xml:space="preserve"> </v>
      </c>
      <c r="T310" s="109" t="str">
        <f>IFERROR(VLOOKUP(Open[[#This Row],[SM BE O/B 09.07.22 Rang]],$AJ$16:$AK$111,2,0)*T$5," ")</f>
        <v xml:space="preserve"> </v>
      </c>
      <c r="U310" s="11">
        <v>0</v>
      </c>
      <c r="V310" s="11">
        <v>0</v>
      </c>
      <c r="W310" s="11">
        <v>0</v>
      </c>
      <c r="X310" s="129"/>
      <c r="Y310" s="191"/>
      <c r="Z310" s="191"/>
      <c r="AA310" s="191"/>
      <c r="AB310" s="191"/>
      <c r="AC310" s="191"/>
      <c r="AD310" s="191"/>
      <c r="AE310" s="191"/>
      <c r="AF310" s="191"/>
    </row>
    <row r="311" spans="1:32" x14ac:dyDescent="0.2">
      <c r="A311" s="11">
        <v>173</v>
      </c>
      <c r="B311" s="11">
        <f>IF(Open[[#This Row],[PR Rang beim letzten Turnier]]&gt;Open[[#This Row],[PR Rang]],1,IF(Open[[#This Row],[PR Rang beim letzten Turnier]]=Open[[#This Row],[PR Rang]],0,-1))</f>
        <v>-1</v>
      </c>
      <c r="C311" s="147">
        <f>RANK(Open[[#This Row],[PR Punkte]],Open[PR Punkte],0)</f>
        <v>205</v>
      </c>
      <c r="D311" s="25" t="s">
        <v>251</v>
      </c>
      <c r="E311" s="31" t="s">
        <v>11</v>
      </c>
      <c r="F311" s="109">
        <f>SUM(Open[[#This Row],[PR 1]:[PR 3]])</f>
        <v>0</v>
      </c>
      <c r="G311" s="109">
        <f>LARGE(Open[[#This Row],[TS SH O 22.02.22]:[PR3]],1)</f>
        <v>0</v>
      </c>
      <c r="H311" s="109">
        <f>LARGE(Open[[#This Row],[TS SH O 22.02.22]:[PR3]],2)</f>
        <v>0</v>
      </c>
      <c r="I311" s="109">
        <f>LARGE(Open[[#This Row],[TS SH O 22.02.22]:[PR3]],3)</f>
        <v>0</v>
      </c>
      <c r="J311" s="31">
        <f>RANK(K311,$K$7:$K$295,0)</f>
        <v>205</v>
      </c>
      <c r="K311" s="109">
        <f>SUM(L311:W311)</f>
        <v>0</v>
      </c>
      <c r="L311" s="109" t="str">
        <f>IFERROR(VLOOKUP(Open[[#This Row],[TS SH 22.02.22 Rang]],$AJ$16:$AK$111,2,0)*L$5," ")</f>
        <v xml:space="preserve"> </v>
      </c>
      <c r="M311" s="109" t="str">
        <f>IFERROR(VLOOKUP(Open[[#This Row],[TS SH O 23.04.22 Rang]],$AJ$16:$AK$111,2,0)*M$5," ")</f>
        <v xml:space="preserve"> </v>
      </c>
      <c r="N311" s="109" t="str">
        <f>IFERROR(VLOOKUP(Open[[#This Row],[TS LA O 08.05.22 Rang]],$AJ$16:$AK$111,2,0)*N$5," ")</f>
        <v xml:space="preserve"> </v>
      </c>
      <c r="O311" s="109" t="str">
        <f>IFERROR(VLOOKUP(Open[[#This Row],[TS SG O 25.05.22 Rang]],$AJ$16:$AK$111,2,0)*O$5," ")</f>
        <v xml:space="preserve"> </v>
      </c>
      <c r="P311" s="109" t="str">
        <f>IFERROR(VLOOKUP(Open[[#This Row],[TS SH O 25.06.22 Rang]],$AJ$16:$AK$111,2,0)*P$5," ")</f>
        <v xml:space="preserve"> </v>
      </c>
      <c r="Q311" s="109" t="str">
        <f>IFERROR(VLOOKUP(Open[[#This Row],[TS ZH O/A 25.06.22 Rang]],$AJ$16:$AK$111,2,0)*Q$5," ")</f>
        <v xml:space="preserve"> </v>
      </c>
      <c r="R311" s="109" t="str">
        <f>IFERROR(VLOOKUP(Open[[#This Row],[TS ZH O/B 25.06.22 Rang]],$AJ$16:$AK$111,2,0)*R$5," ")</f>
        <v xml:space="preserve"> </v>
      </c>
      <c r="S311" s="109" t="str">
        <f>IFERROR(VLOOKUP(Open[[#This Row],[SM BE O/A 09.07.22 Rang]],$AJ$16:$AK$111,2,0)*S$5," ")</f>
        <v xml:space="preserve"> </v>
      </c>
      <c r="T311" s="109" t="str">
        <f>IFERROR(VLOOKUP(Open[[#This Row],[SM BE O/B 09.07.22 Rang]],$AJ$16:$AK$111,2,0)*T$5," ")</f>
        <v xml:space="preserve"> </v>
      </c>
      <c r="U311" s="11">
        <v>0</v>
      </c>
      <c r="V311" s="11">
        <v>0</v>
      </c>
      <c r="W311" s="11">
        <v>0</v>
      </c>
      <c r="X311" s="129"/>
      <c r="Y311" s="191"/>
      <c r="Z311" s="191"/>
      <c r="AA311" s="191"/>
      <c r="AB311" s="191"/>
      <c r="AC311" s="191"/>
      <c r="AD311" s="191"/>
      <c r="AE311" s="191"/>
      <c r="AF311" s="191"/>
    </row>
    <row r="312" spans="1:32" x14ac:dyDescent="0.2">
      <c r="A312" s="11">
        <v>173</v>
      </c>
      <c r="B312" s="11">
        <f>IF(Open[[#This Row],[PR Rang beim letzten Turnier]]&gt;Open[[#This Row],[PR Rang]],1,IF(Open[[#This Row],[PR Rang beim letzten Turnier]]=Open[[#This Row],[PR Rang]],0,-1))</f>
        <v>-1</v>
      </c>
      <c r="C312" s="147">
        <f>RANK(Open[[#This Row],[PR Punkte]],Open[PR Punkte],0)</f>
        <v>205</v>
      </c>
      <c r="D312" s="25" t="s">
        <v>247</v>
      </c>
      <c r="E312" s="31" t="s">
        <v>11</v>
      </c>
      <c r="F312" s="109">
        <f>SUM(Open[[#This Row],[PR 1]:[PR 3]])</f>
        <v>0</v>
      </c>
      <c r="G312" s="109">
        <f>LARGE(Open[[#This Row],[TS SH O 22.02.22]:[PR3]],1)</f>
        <v>0</v>
      </c>
      <c r="H312" s="109">
        <f>LARGE(Open[[#This Row],[TS SH O 22.02.22]:[PR3]],2)</f>
        <v>0</v>
      </c>
      <c r="I312" s="109">
        <f>LARGE(Open[[#This Row],[TS SH O 22.02.22]:[PR3]],3)</f>
        <v>0</v>
      </c>
      <c r="J312" s="31">
        <f>RANK(K312,$K$7:$K$295,0)</f>
        <v>205</v>
      </c>
      <c r="K312" s="109">
        <f>SUM(L312:W312)</f>
        <v>0</v>
      </c>
      <c r="L312" s="109" t="str">
        <f>IFERROR(VLOOKUP(Open[[#This Row],[TS SH 22.02.22 Rang]],$AJ$16:$AK$111,2,0)*L$5," ")</f>
        <v xml:space="preserve"> </v>
      </c>
      <c r="M312" s="109" t="str">
        <f>IFERROR(VLOOKUP(Open[[#This Row],[TS SH O 23.04.22 Rang]],$AJ$16:$AK$111,2,0)*M$5," ")</f>
        <v xml:space="preserve"> </v>
      </c>
      <c r="N312" s="109" t="str">
        <f>IFERROR(VLOOKUP(Open[[#This Row],[TS LA O 08.05.22 Rang]],$AJ$16:$AK$111,2,0)*N$5," ")</f>
        <v xml:space="preserve"> </v>
      </c>
      <c r="O312" s="109" t="str">
        <f>IFERROR(VLOOKUP(Open[[#This Row],[TS SG O 25.05.22 Rang]],$AJ$16:$AK$111,2,0)*O$5," ")</f>
        <v xml:space="preserve"> </v>
      </c>
      <c r="P312" s="109" t="str">
        <f>IFERROR(VLOOKUP(Open[[#This Row],[TS SH O 25.06.22 Rang]],$AJ$16:$AK$111,2,0)*P$5," ")</f>
        <v xml:space="preserve"> </v>
      </c>
      <c r="Q312" s="109" t="str">
        <f>IFERROR(VLOOKUP(Open[[#This Row],[TS ZH O/A 25.06.22 Rang]],$AJ$16:$AK$111,2,0)*Q$5," ")</f>
        <v xml:space="preserve"> </v>
      </c>
      <c r="R312" s="109" t="str">
        <f>IFERROR(VLOOKUP(Open[[#This Row],[TS ZH O/B 25.06.22 Rang]],$AJ$16:$AK$111,2,0)*R$5," ")</f>
        <v xml:space="preserve"> </v>
      </c>
      <c r="S312" s="109" t="str">
        <f>IFERROR(VLOOKUP(Open[[#This Row],[SM BE O/A 09.07.22 Rang]],$AJ$16:$AK$111,2,0)*S$5," ")</f>
        <v xml:space="preserve"> </v>
      </c>
      <c r="T312" s="109" t="str">
        <f>IFERROR(VLOOKUP(Open[[#This Row],[SM BE O/B 09.07.22 Rang]],$AJ$16:$AK$111,2,0)*T$5," ")</f>
        <v xml:space="preserve"> </v>
      </c>
      <c r="U312" s="11">
        <v>0</v>
      </c>
      <c r="V312" s="11">
        <v>0</v>
      </c>
      <c r="W312" s="11">
        <v>0</v>
      </c>
      <c r="X312" s="129"/>
      <c r="Y312" s="191"/>
      <c r="Z312" s="191"/>
      <c r="AA312" s="191"/>
      <c r="AB312" s="191"/>
      <c r="AC312" s="191"/>
      <c r="AD312" s="191"/>
      <c r="AE312" s="191"/>
      <c r="AF312" s="191"/>
    </row>
    <row r="313" spans="1:32" x14ac:dyDescent="0.2">
      <c r="A313" s="11">
        <v>173</v>
      </c>
      <c r="B313" s="11">
        <f>IF(Open[[#This Row],[PR Rang beim letzten Turnier]]&gt;Open[[#This Row],[PR Rang]],1,IF(Open[[#This Row],[PR Rang beim letzten Turnier]]=Open[[#This Row],[PR Rang]],0,-1))</f>
        <v>-1</v>
      </c>
      <c r="C313" s="147">
        <f>RANK(Open[[#This Row],[PR Punkte]],Open[PR Punkte],0)</f>
        <v>205</v>
      </c>
      <c r="D313" s="25" t="s">
        <v>246</v>
      </c>
      <c r="E313" s="31" t="s">
        <v>0</v>
      </c>
      <c r="F313" s="109">
        <f>SUM(Open[[#This Row],[PR 1]:[PR 3]])</f>
        <v>0</v>
      </c>
      <c r="G313" s="109">
        <f>LARGE(Open[[#This Row],[TS SH O 22.02.22]:[PR3]],1)</f>
        <v>0</v>
      </c>
      <c r="H313" s="109">
        <f>LARGE(Open[[#This Row],[TS SH O 22.02.22]:[PR3]],2)</f>
        <v>0</v>
      </c>
      <c r="I313" s="109">
        <f>LARGE(Open[[#This Row],[TS SH O 22.02.22]:[PR3]],3)</f>
        <v>0</v>
      </c>
      <c r="J313" s="31">
        <f>RANK(K313,$K$7:$K$295,0)</f>
        <v>205</v>
      </c>
      <c r="K313" s="109">
        <f>SUM(L313:W313)</f>
        <v>0</v>
      </c>
      <c r="L313" s="109" t="str">
        <f>IFERROR(VLOOKUP(Open[[#This Row],[TS SH 22.02.22 Rang]],$AJ$16:$AK$111,2,0)*L$5," ")</f>
        <v xml:space="preserve"> </v>
      </c>
      <c r="M313" s="109" t="str">
        <f>IFERROR(VLOOKUP(Open[[#This Row],[TS SH O 23.04.22 Rang]],$AJ$16:$AK$111,2,0)*M$5," ")</f>
        <v xml:space="preserve"> </v>
      </c>
      <c r="N313" s="109" t="str">
        <f>IFERROR(VLOOKUP(Open[[#This Row],[TS LA O 08.05.22 Rang]],$AJ$16:$AK$111,2,0)*N$5," ")</f>
        <v xml:space="preserve"> </v>
      </c>
      <c r="O313" s="109" t="str">
        <f>IFERROR(VLOOKUP(Open[[#This Row],[TS SG O 25.05.22 Rang]],$AJ$16:$AK$111,2,0)*O$5," ")</f>
        <v xml:space="preserve"> </v>
      </c>
      <c r="P313" s="109" t="str">
        <f>IFERROR(VLOOKUP(Open[[#This Row],[TS SH O 25.06.22 Rang]],$AJ$16:$AK$111,2,0)*P$5," ")</f>
        <v xml:space="preserve"> </v>
      </c>
      <c r="Q313" s="109" t="str">
        <f>IFERROR(VLOOKUP(Open[[#This Row],[TS ZH O/A 25.06.22 Rang]],$AJ$16:$AK$111,2,0)*Q$5," ")</f>
        <v xml:space="preserve"> </v>
      </c>
      <c r="R313" s="109" t="str">
        <f>IFERROR(VLOOKUP(Open[[#This Row],[TS ZH O/B 25.06.22 Rang]],$AJ$16:$AK$111,2,0)*R$5," ")</f>
        <v xml:space="preserve"> </v>
      </c>
      <c r="S313" s="109" t="str">
        <f>IFERROR(VLOOKUP(Open[[#This Row],[SM BE O/A 09.07.22 Rang]],$AJ$16:$AK$111,2,0)*S$5," ")</f>
        <v xml:space="preserve"> </v>
      </c>
      <c r="T313" s="109" t="str">
        <f>IFERROR(VLOOKUP(Open[[#This Row],[SM BE O/B 09.07.22 Rang]],$AJ$16:$AK$111,2,0)*T$5," ")</f>
        <v xml:space="preserve"> </v>
      </c>
      <c r="U313" s="11">
        <v>0</v>
      </c>
      <c r="V313" s="11">
        <v>0</v>
      </c>
      <c r="W313" s="11">
        <v>0</v>
      </c>
      <c r="X313" s="129"/>
      <c r="Y313" s="191"/>
      <c r="Z313" s="191"/>
      <c r="AA313" s="191"/>
      <c r="AB313" s="191"/>
      <c r="AC313" s="191"/>
      <c r="AD313" s="191"/>
      <c r="AE313" s="191"/>
      <c r="AF313" s="191"/>
    </row>
    <row r="314" spans="1:32" x14ac:dyDescent="0.2">
      <c r="A314" s="11">
        <v>173</v>
      </c>
      <c r="B314" s="11">
        <f>IF(Open[[#This Row],[PR Rang beim letzten Turnier]]&gt;Open[[#This Row],[PR Rang]],1,IF(Open[[#This Row],[PR Rang beim letzten Turnier]]=Open[[#This Row],[PR Rang]],0,-1))</f>
        <v>-1</v>
      </c>
      <c r="C314" s="147">
        <f>RANK(Open[[#This Row],[PR Punkte]],Open[PR Punkte],0)</f>
        <v>205</v>
      </c>
      <c r="D314" s="25" t="s">
        <v>265</v>
      </c>
      <c r="E314" s="31" t="s">
        <v>11</v>
      </c>
      <c r="F314" s="109">
        <f>SUM(Open[[#This Row],[PR 1]:[PR 3]])</f>
        <v>0</v>
      </c>
      <c r="G314" s="109">
        <f>LARGE(Open[[#This Row],[TS SH O 22.02.22]:[PR3]],1)</f>
        <v>0</v>
      </c>
      <c r="H314" s="109">
        <f>LARGE(Open[[#This Row],[TS SH O 22.02.22]:[PR3]],2)</f>
        <v>0</v>
      </c>
      <c r="I314" s="109">
        <f>LARGE(Open[[#This Row],[TS SH O 22.02.22]:[PR3]],3)</f>
        <v>0</v>
      </c>
      <c r="J314" s="31">
        <f>RANK(K314,$K$7:$K$295,0)</f>
        <v>205</v>
      </c>
      <c r="K314" s="109">
        <f>SUM(L314:W314)</f>
        <v>0</v>
      </c>
      <c r="L314" s="109" t="str">
        <f>IFERROR(VLOOKUP(Open[[#This Row],[TS SH 22.02.22 Rang]],$AJ$16:$AK$111,2,0)*L$5," ")</f>
        <v xml:space="preserve"> </v>
      </c>
      <c r="M314" s="109" t="str">
        <f>IFERROR(VLOOKUP(Open[[#This Row],[TS SH O 23.04.22 Rang]],$AJ$16:$AK$111,2,0)*M$5," ")</f>
        <v xml:space="preserve"> </v>
      </c>
      <c r="N314" s="109" t="str">
        <f>IFERROR(VLOOKUP(Open[[#This Row],[TS LA O 08.05.22 Rang]],$AJ$16:$AK$111,2,0)*N$5," ")</f>
        <v xml:space="preserve"> </v>
      </c>
      <c r="O314" s="109" t="str">
        <f>IFERROR(VLOOKUP(Open[[#This Row],[TS SG O 25.05.22 Rang]],$AJ$16:$AK$111,2,0)*O$5," ")</f>
        <v xml:space="preserve"> </v>
      </c>
      <c r="P314" s="109" t="str">
        <f>IFERROR(VLOOKUP(Open[[#This Row],[TS SH O 25.06.22 Rang]],$AJ$16:$AK$111,2,0)*P$5," ")</f>
        <v xml:space="preserve"> </v>
      </c>
      <c r="Q314" s="109" t="str">
        <f>IFERROR(VLOOKUP(Open[[#This Row],[TS ZH O/A 25.06.22 Rang]],$AJ$16:$AK$111,2,0)*Q$5," ")</f>
        <v xml:space="preserve"> </v>
      </c>
      <c r="R314" s="109" t="str">
        <f>IFERROR(VLOOKUP(Open[[#This Row],[TS ZH O/B 25.06.22 Rang]],$AJ$16:$AK$111,2,0)*R$5," ")</f>
        <v xml:space="preserve"> </v>
      </c>
      <c r="S314" s="109" t="str">
        <f>IFERROR(VLOOKUP(Open[[#This Row],[SM BE O/A 09.07.22 Rang]],$AJ$16:$AK$111,2,0)*S$5," ")</f>
        <v xml:space="preserve"> </v>
      </c>
      <c r="T314" s="109" t="str">
        <f>IFERROR(VLOOKUP(Open[[#This Row],[SM BE O/B 09.07.22 Rang]],$AJ$16:$AK$111,2,0)*T$5," ")</f>
        <v xml:space="preserve"> </v>
      </c>
      <c r="U314" s="11">
        <v>0</v>
      </c>
      <c r="V314" s="11">
        <v>0</v>
      </c>
      <c r="W314" s="11">
        <v>0</v>
      </c>
      <c r="X314" s="129"/>
      <c r="Y314" s="191"/>
      <c r="Z314" s="191"/>
      <c r="AA314" s="191"/>
      <c r="AB314" s="191"/>
      <c r="AC314" s="191"/>
      <c r="AD314" s="191"/>
      <c r="AE314" s="191"/>
      <c r="AF314" s="191"/>
    </row>
    <row r="315" spans="1:32" x14ac:dyDescent="0.2">
      <c r="A315" s="11">
        <v>173</v>
      </c>
      <c r="B315" s="11">
        <f>IF(Open[[#This Row],[PR Rang beim letzten Turnier]]&gt;Open[[#This Row],[PR Rang]],1,IF(Open[[#This Row],[PR Rang beim letzten Turnier]]=Open[[#This Row],[PR Rang]],0,-1))</f>
        <v>-1</v>
      </c>
      <c r="C315" s="147">
        <f>RANK(Open[[#This Row],[PR Punkte]],Open[PR Punkte],0)</f>
        <v>205</v>
      </c>
      <c r="D315" s="25" t="s">
        <v>238</v>
      </c>
      <c r="E315" s="31" t="s">
        <v>11</v>
      </c>
      <c r="F315" s="109">
        <f>SUM(Open[[#This Row],[PR 1]:[PR 3]])</f>
        <v>0</v>
      </c>
      <c r="G315" s="109">
        <f>LARGE(Open[[#This Row],[TS SH O 22.02.22]:[PR3]],1)</f>
        <v>0</v>
      </c>
      <c r="H315" s="109">
        <f>LARGE(Open[[#This Row],[TS SH O 22.02.22]:[PR3]],2)</f>
        <v>0</v>
      </c>
      <c r="I315" s="109">
        <f>LARGE(Open[[#This Row],[TS SH O 22.02.22]:[PR3]],3)</f>
        <v>0</v>
      </c>
      <c r="J315" s="31">
        <f>RANK(K315,$K$7:$K$295,0)</f>
        <v>205</v>
      </c>
      <c r="K315" s="109">
        <f>SUM(L315:W315)</f>
        <v>0</v>
      </c>
      <c r="L315" s="109" t="str">
        <f>IFERROR(VLOOKUP(Open[[#This Row],[TS SH 22.02.22 Rang]],$AJ$16:$AK$111,2,0)*L$5," ")</f>
        <v xml:space="preserve"> </v>
      </c>
      <c r="M315" s="109" t="str">
        <f>IFERROR(VLOOKUP(Open[[#This Row],[TS SH O 23.04.22 Rang]],$AJ$16:$AK$111,2,0)*M$5," ")</f>
        <v xml:space="preserve"> </v>
      </c>
      <c r="N315" s="109" t="str">
        <f>IFERROR(VLOOKUP(Open[[#This Row],[TS LA O 08.05.22 Rang]],$AJ$16:$AK$111,2,0)*N$5," ")</f>
        <v xml:space="preserve"> </v>
      </c>
      <c r="O315" s="109" t="str">
        <f>IFERROR(VLOOKUP(Open[[#This Row],[TS SG O 25.05.22 Rang]],$AJ$16:$AK$111,2,0)*O$5," ")</f>
        <v xml:space="preserve"> </v>
      </c>
      <c r="P315" s="109" t="str">
        <f>IFERROR(VLOOKUP(Open[[#This Row],[TS SH O 25.06.22 Rang]],$AJ$16:$AK$111,2,0)*P$5," ")</f>
        <v xml:space="preserve"> </v>
      </c>
      <c r="Q315" s="109" t="str">
        <f>IFERROR(VLOOKUP(Open[[#This Row],[TS ZH O/A 25.06.22 Rang]],$AJ$16:$AK$111,2,0)*Q$5," ")</f>
        <v xml:space="preserve"> </v>
      </c>
      <c r="R315" s="109" t="str">
        <f>IFERROR(VLOOKUP(Open[[#This Row],[TS ZH O/B 25.06.22 Rang]],$AJ$16:$AK$111,2,0)*R$5," ")</f>
        <v xml:space="preserve"> </v>
      </c>
      <c r="S315" s="109" t="str">
        <f>IFERROR(VLOOKUP(Open[[#This Row],[SM BE O/A 09.07.22 Rang]],$AJ$16:$AK$111,2,0)*S$5," ")</f>
        <v xml:space="preserve"> </v>
      </c>
      <c r="T315" s="109" t="str">
        <f>IFERROR(VLOOKUP(Open[[#This Row],[SM BE O/B 09.07.22 Rang]],$AJ$16:$AK$111,2,0)*T$5," ")</f>
        <v xml:space="preserve"> </v>
      </c>
      <c r="U315" s="11">
        <v>0</v>
      </c>
      <c r="V315" s="11">
        <v>0</v>
      </c>
      <c r="W315" s="11">
        <v>0</v>
      </c>
      <c r="X315" s="129"/>
      <c r="Y315" s="191"/>
      <c r="Z315" s="191"/>
      <c r="AA315" s="191"/>
      <c r="AB315" s="191"/>
      <c r="AC315" s="191"/>
      <c r="AD315" s="191"/>
      <c r="AE315" s="191"/>
      <c r="AF315" s="191"/>
    </row>
    <row r="316" spans="1:32" x14ac:dyDescent="0.2">
      <c r="A316" s="11">
        <v>173</v>
      </c>
      <c r="B316" s="11">
        <f>IF(Open[[#This Row],[PR Rang beim letzten Turnier]]&gt;Open[[#This Row],[PR Rang]],1,IF(Open[[#This Row],[PR Rang beim letzten Turnier]]=Open[[#This Row],[PR Rang]],0,-1))</f>
        <v>-1</v>
      </c>
      <c r="C316" s="147">
        <f>RANK(Open[[#This Row],[PR Punkte]],Open[PR Punkte],0)</f>
        <v>205</v>
      </c>
      <c r="D316" s="25" t="s">
        <v>261</v>
      </c>
      <c r="E316" s="11" t="s">
        <v>7</v>
      </c>
      <c r="F316" s="109">
        <f>SUM(Open[[#This Row],[PR 1]:[PR 3]])</f>
        <v>0</v>
      </c>
      <c r="G316" s="109">
        <f>LARGE(Open[[#This Row],[TS SH O 22.02.22]:[PR3]],1)</f>
        <v>0</v>
      </c>
      <c r="H316" s="109">
        <f>LARGE(Open[[#This Row],[TS SH O 22.02.22]:[PR3]],2)</f>
        <v>0</v>
      </c>
      <c r="I316" s="109">
        <f>LARGE(Open[[#This Row],[TS SH O 22.02.22]:[PR3]],3)</f>
        <v>0</v>
      </c>
      <c r="J316" s="11">
        <f>RANK(K316,$K$7:$K$295,0)</f>
        <v>205</v>
      </c>
      <c r="K316" s="109">
        <f>SUM(L316:W316)</f>
        <v>0</v>
      </c>
      <c r="L316" s="109" t="str">
        <f>IFERROR(VLOOKUP(Open[[#This Row],[TS SH 22.02.22 Rang]],$AJ$16:$AK$111,2,0)*L$5," ")</f>
        <v xml:space="preserve"> </v>
      </c>
      <c r="M316" s="109" t="str">
        <f>IFERROR(VLOOKUP(Open[[#This Row],[TS SH O 23.04.22 Rang]],$AJ$16:$AK$111,2,0)*M$5," ")</f>
        <v xml:space="preserve"> </v>
      </c>
      <c r="N316" s="109" t="str">
        <f>IFERROR(VLOOKUP(Open[[#This Row],[TS LA O 08.05.22 Rang]],$AJ$16:$AK$111,2,0)*N$5," ")</f>
        <v xml:space="preserve"> </v>
      </c>
      <c r="O316" s="109" t="str">
        <f>IFERROR(VLOOKUP(Open[[#This Row],[TS SG O 25.05.22 Rang]],$AJ$16:$AK$111,2,0)*O$5," ")</f>
        <v xml:space="preserve"> </v>
      </c>
      <c r="P316" s="109" t="str">
        <f>IFERROR(VLOOKUP(Open[[#This Row],[TS SH O 25.06.22 Rang]],$AJ$16:$AK$111,2,0)*P$5," ")</f>
        <v xml:space="preserve"> </v>
      </c>
      <c r="Q316" s="109" t="str">
        <f>IFERROR(VLOOKUP(Open[[#This Row],[TS ZH O/A 25.06.22 Rang]],$AJ$16:$AK$111,2,0)*Q$5," ")</f>
        <v xml:space="preserve"> </v>
      </c>
      <c r="R316" s="109" t="str">
        <f>IFERROR(VLOOKUP(Open[[#This Row],[TS ZH O/B 25.06.22 Rang]],$AJ$16:$AK$111,2,0)*R$5," ")</f>
        <v xml:space="preserve"> </v>
      </c>
      <c r="S316" s="109" t="str">
        <f>IFERROR(VLOOKUP(Open[[#This Row],[SM BE O/A 09.07.22 Rang]],$AJ$16:$AK$111,2,0)*S$5," ")</f>
        <v xml:space="preserve"> </v>
      </c>
      <c r="T316" s="109" t="str">
        <f>IFERROR(VLOOKUP(Open[[#This Row],[SM BE O/B 09.07.22 Rang]],$AJ$16:$AK$111,2,0)*T$5," ")</f>
        <v xml:space="preserve"> </v>
      </c>
      <c r="U316" s="11">
        <v>0</v>
      </c>
      <c r="V316" s="11">
        <v>0</v>
      </c>
      <c r="W316" s="11">
        <v>0</v>
      </c>
      <c r="X316" s="129"/>
      <c r="Y316" s="191"/>
      <c r="Z316" s="191"/>
      <c r="AA316" s="191"/>
      <c r="AB316" s="191"/>
      <c r="AC316" s="191"/>
      <c r="AD316" s="191"/>
      <c r="AE316" s="191"/>
      <c r="AF316" s="191"/>
    </row>
    <row r="317" spans="1:32" x14ac:dyDescent="0.2">
      <c r="A317" s="11">
        <v>173</v>
      </c>
      <c r="B317" s="11">
        <f>IF(Open[[#This Row],[PR Rang beim letzten Turnier]]&gt;Open[[#This Row],[PR Rang]],1,IF(Open[[#This Row],[PR Rang beim letzten Turnier]]=Open[[#This Row],[PR Rang]],0,-1))</f>
        <v>-1</v>
      </c>
      <c r="C317" s="147">
        <f>RANK(Open[[#This Row],[PR Punkte]],Open[PR Punkte],0)</f>
        <v>205</v>
      </c>
      <c r="D317" s="25" t="s">
        <v>270</v>
      </c>
      <c r="E317" s="31" t="s">
        <v>7</v>
      </c>
      <c r="F317" s="109">
        <f>SUM(Open[[#This Row],[PR 1]:[PR 3]])</f>
        <v>0</v>
      </c>
      <c r="G317" s="109">
        <f>LARGE(Open[[#This Row],[TS SH O 22.02.22]:[PR3]],1)</f>
        <v>0</v>
      </c>
      <c r="H317" s="109">
        <f>LARGE(Open[[#This Row],[TS SH O 22.02.22]:[PR3]],2)</f>
        <v>0</v>
      </c>
      <c r="I317" s="109">
        <f>LARGE(Open[[#This Row],[TS SH O 22.02.22]:[PR3]],3)</f>
        <v>0</v>
      </c>
      <c r="J317" s="31">
        <f>RANK(K317,$K$7:$K$295,0)</f>
        <v>205</v>
      </c>
      <c r="K317" s="109">
        <f>SUM(L317:W317)</f>
        <v>0</v>
      </c>
      <c r="L317" s="109" t="str">
        <f>IFERROR(VLOOKUP(Open[[#This Row],[TS SH 22.02.22 Rang]],$AJ$16:$AK$111,2,0)*L$5," ")</f>
        <v xml:space="preserve"> </v>
      </c>
      <c r="M317" s="109" t="str">
        <f>IFERROR(VLOOKUP(Open[[#This Row],[TS SH O 23.04.22 Rang]],$AJ$16:$AK$111,2,0)*M$5," ")</f>
        <v xml:space="preserve"> </v>
      </c>
      <c r="N317" s="109" t="str">
        <f>IFERROR(VLOOKUP(Open[[#This Row],[TS LA O 08.05.22 Rang]],$AJ$16:$AK$111,2,0)*N$5," ")</f>
        <v xml:space="preserve"> </v>
      </c>
      <c r="O317" s="109" t="str">
        <f>IFERROR(VLOOKUP(Open[[#This Row],[TS SG O 25.05.22 Rang]],$AJ$16:$AK$111,2,0)*O$5," ")</f>
        <v xml:space="preserve"> </v>
      </c>
      <c r="P317" s="109" t="str">
        <f>IFERROR(VLOOKUP(Open[[#This Row],[TS SH O 25.06.22 Rang]],$AJ$16:$AK$111,2,0)*P$5," ")</f>
        <v xml:space="preserve"> </v>
      </c>
      <c r="Q317" s="109" t="str">
        <f>IFERROR(VLOOKUP(Open[[#This Row],[TS ZH O/A 25.06.22 Rang]],$AJ$16:$AK$111,2,0)*Q$5," ")</f>
        <v xml:space="preserve"> </v>
      </c>
      <c r="R317" s="109" t="str">
        <f>IFERROR(VLOOKUP(Open[[#This Row],[TS ZH O/B 25.06.22 Rang]],$AJ$16:$AK$111,2,0)*R$5," ")</f>
        <v xml:space="preserve"> </v>
      </c>
      <c r="S317" s="109" t="str">
        <f>IFERROR(VLOOKUP(Open[[#This Row],[SM BE O/A 09.07.22 Rang]],$AJ$16:$AK$111,2,0)*S$5," ")</f>
        <v xml:space="preserve"> </v>
      </c>
      <c r="T317" s="109" t="str">
        <f>IFERROR(VLOOKUP(Open[[#This Row],[SM BE O/B 09.07.22 Rang]],$AJ$16:$AK$111,2,0)*T$5," ")</f>
        <v xml:space="preserve"> </v>
      </c>
      <c r="U317" s="11">
        <v>0</v>
      </c>
      <c r="V317" s="11">
        <v>0</v>
      </c>
      <c r="W317" s="11">
        <v>0</v>
      </c>
      <c r="X317" s="129"/>
      <c r="Y317" s="191"/>
      <c r="Z317" s="191"/>
      <c r="AA317" s="191"/>
      <c r="AB317" s="191"/>
      <c r="AC317" s="191"/>
      <c r="AD317" s="191"/>
      <c r="AE317" s="191"/>
      <c r="AF317" s="191"/>
    </row>
    <row r="318" spans="1:32" x14ac:dyDescent="0.2">
      <c r="A318" s="11">
        <v>173</v>
      </c>
      <c r="B318" s="11">
        <f>IF(Open[[#This Row],[PR Rang beim letzten Turnier]]&gt;Open[[#This Row],[PR Rang]],1,IF(Open[[#This Row],[PR Rang beim letzten Turnier]]=Open[[#This Row],[PR Rang]],0,-1))</f>
        <v>-1</v>
      </c>
      <c r="C318" s="147">
        <f>RANK(Open[[#This Row],[PR Punkte]],Open[PR Punkte],0)</f>
        <v>205</v>
      </c>
      <c r="D318" s="25" t="s">
        <v>266</v>
      </c>
      <c r="E318" s="31" t="s">
        <v>11</v>
      </c>
      <c r="F318" s="109">
        <f>SUM(Open[[#This Row],[PR 1]:[PR 3]])</f>
        <v>0</v>
      </c>
      <c r="G318" s="109">
        <f>LARGE(Open[[#This Row],[TS SH O 22.02.22]:[PR3]],1)</f>
        <v>0</v>
      </c>
      <c r="H318" s="109">
        <f>LARGE(Open[[#This Row],[TS SH O 22.02.22]:[PR3]],2)</f>
        <v>0</v>
      </c>
      <c r="I318" s="109">
        <f>LARGE(Open[[#This Row],[TS SH O 22.02.22]:[PR3]],3)</f>
        <v>0</v>
      </c>
      <c r="J318" s="31">
        <f>RANK(K318,$K$7:$K$295,0)</f>
        <v>205</v>
      </c>
      <c r="K318" s="109">
        <f>SUM(L318:W318)</f>
        <v>0</v>
      </c>
      <c r="L318" s="109" t="str">
        <f>IFERROR(VLOOKUP(Open[[#This Row],[TS SH 22.02.22 Rang]],$AJ$16:$AK$111,2,0)*L$5," ")</f>
        <v xml:space="preserve"> </v>
      </c>
      <c r="M318" s="109" t="str">
        <f>IFERROR(VLOOKUP(Open[[#This Row],[TS SH O 23.04.22 Rang]],$AJ$16:$AK$111,2,0)*M$5," ")</f>
        <v xml:space="preserve"> </v>
      </c>
      <c r="N318" s="109" t="str">
        <f>IFERROR(VLOOKUP(Open[[#This Row],[TS LA O 08.05.22 Rang]],$AJ$16:$AK$111,2,0)*N$5," ")</f>
        <v xml:space="preserve"> </v>
      </c>
      <c r="O318" s="109" t="str">
        <f>IFERROR(VLOOKUP(Open[[#This Row],[TS SG O 25.05.22 Rang]],$AJ$16:$AK$111,2,0)*O$5," ")</f>
        <v xml:space="preserve"> </v>
      </c>
      <c r="P318" s="109" t="str">
        <f>IFERROR(VLOOKUP(Open[[#This Row],[TS SH O 25.06.22 Rang]],$AJ$16:$AK$111,2,0)*P$5," ")</f>
        <v xml:space="preserve"> </v>
      </c>
      <c r="Q318" s="109" t="str">
        <f>IFERROR(VLOOKUP(Open[[#This Row],[TS ZH O/A 25.06.22 Rang]],$AJ$16:$AK$111,2,0)*Q$5," ")</f>
        <v xml:space="preserve"> </v>
      </c>
      <c r="R318" s="109" t="str">
        <f>IFERROR(VLOOKUP(Open[[#This Row],[TS ZH O/B 25.06.22 Rang]],$AJ$16:$AK$111,2,0)*R$5," ")</f>
        <v xml:space="preserve"> </v>
      </c>
      <c r="S318" s="109" t="str">
        <f>IFERROR(VLOOKUP(Open[[#This Row],[SM BE O/A 09.07.22 Rang]],$AJ$16:$AK$111,2,0)*S$5," ")</f>
        <v xml:space="preserve"> </v>
      </c>
      <c r="T318" s="109" t="str">
        <f>IFERROR(VLOOKUP(Open[[#This Row],[SM BE O/B 09.07.22 Rang]],$AJ$16:$AK$111,2,0)*T$5," ")</f>
        <v xml:space="preserve"> </v>
      </c>
      <c r="U318" s="11">
        <v>0</v>
      </c>
      <c r="V318" s="11">
        <v>0</v>
      </c>
      <c r="W318" s="11">
        <v>0</v>
      </c>
      <c r="X318" s="129"/>
      <c r="Y318" s="191"/>
      <c r="Z318" s="191"/>
      <c r="AA318" s="191"/>
      <c r="AB318" s="191"/>
      <c r="AC318" s="191"/>
      <c r="AD318" s="191"/>
      <c r="AE318" s="191"/>
      <c r="AF318" s="191"/>
    </row>
    <row r="319" spans="1:32" x14ac:dyDescent="0.2">
      <c r="A319" s="11">
        <v>173</v>
      </c>
      <c r="B319" s="11">
        <f>IF(Open[[#This Row],[PR Rang beim letzten Turnier]]&gt;Open[[#This Row],[PR Rang]],1,IF(Open[[#This Row],[PR Rang beim letzten Turnier]]=Open[[#This Row],[PR Rang]],0,-1))</f>
        <v>-1</v>
      </c>
      <c r="C319" s="147">
        <f>RANK(Open[[#This Row],[PR Punkte]],Open[PR Punkte],0)</f>
        <v>205</v>
      </c>
      <c r="D319" s="25" t="s">
        <v>269</v>
      </c>
      <c r="E319" s="31" t="s">
        <v>11</v>
      </c>
      <c r="F319" s="109">
        <f>SUM(Open[[#This Row],[PR 1]:[PR 3]])</f>
        <v>0</v>
      </c>
      <c r="G319" s="109">
        <f>LARGE(Open[[#This Row],[TS SH O 22.02.22]:[PR3]],1)</f>
        <v>0</v>
      </c>
      <c r="H319" s="109">
        <f>LARGE(Open[[#This Row],[TS SH O 22.02.22]:[PR3]],2)</f>
        <v>0</v>
      </c>
      <c r="I319" s="109">
        <f>LARGE(Open[[#This Row],[TS SH O 22.02.22]:[PR3]],3)</f>
        <v>0</v>
      </c>
      <c r="J319" s="31">
        <f>RANK(K319,$K$7:$K$295,0)</f>
        <v>205</v>
      </c>
      <c r="K319" s="109">
        <f>SUM(L319:W319)</f>
        <v>0</v>
      </c>
      <c r="L319" s="109" t="str">
        <f>IFERROR(VLOOKUP(Open[[#This Row],[TS SH 22.02.22 Rang]],$AJ$16:$AK$111,2,0)*L$5," ")</f>
        <v xml:space="preserve"> </v>
      </c>
      <c r="M319" s="109" t="str">
        <f>IFERROR(VLOOKUP(Open[[#This Row],[TS SH O 23.04.22 Rang]],$AJ$16:$AK$111,2,0)*M$5," ")</f>
        <v xml:space="preserve"> </v>
      </c>
      <c r="N319" s="109" t="str">
        <f>IFERROR(VLOOKUP(Open[[#This Row],[TS LA O 08.05.22 Rang]],$AJ$16:$AK$111,2,0)*N$5," ")</f>
        <v xml:space="preserve"> </v>
      </c>
      <c r="O319" s="109" t="str">
        <f>IFERROR(VLOOKUP(Open[[#This Row],[TS SG O 25.05.22 Rang]],$AJ$16:$AK$111,2,0)*O$5," ")</f>
        <v xml:space="preserve"> </v>
      </c>
      <c r="P319" s="109" t="str">
        <f>IFERROR(VLOOKUP(Open[[#This Row],[TS SH O 25.06.22 Rang]],$AJ$16:$AK$111,2,0)*P$5," ")</f>
        <v xml:space="preserve"> </v>
      </c>
      <c r="Q319" s="109" t="str">
        <f>IFERROR(VLOOKUP(Open[[#This Row],[TS ZH O/A 25.06.22 Rang]],$AJ$16:$AK$111,2,0)*Q$5," ")</f>
        <v xml:space="preserve"> </v>
      </c>
      <c r="R319" s="109" t="str">
        <f>IFERROR(VLOOKUP(Open[[#This Row],[TS ZH O/B 25.06.22 Rang]],$AJ$16:$AK$111,2,0)*R$5," ")</f>
        <v xml:space="preserve"> </v>
      </c>
      <c r="S319" s="109" t="str">
        <f>IFERROR(VLOOKUP(Open[[#This Row],[SM BE O/A 09.07.22 Rang]],$AJ$16:$AK$111,2,0)*S$5," ")</f>
        <v xml:space="preserve"> </v>
      </c>
      <c r="T319" s="109" t="str">
        <f>IFERROR(VLOOKUP(Open[[#This Row],[SM BE O/B 09.07.22 Rang]],$AJ$16:$AK$111,2,0)*T$5," ")</f>
        <v xml:space="preserve"> </v>
      </c>
      <c r="U319" s="11">
        <v>0</v>
      </c>
      <c r="V319" s="11">
        <v>0</v>
      </c>
      <c r="W319" s="11">
        <v>0</v>
      </c>
      <c r="X319" s="129"/>
      <c r="Y319" s="191"/>
      <c r="Z319" s="191"/>
      <c r="AA319" s="191"/>
      <c r="AB319" s="191"/>
      <c r="AC319" s="191"/>
      <c r="AD319" s="191"/>
      <c r="AE319" s="191"/>
      <c r="AF319" s="191"/>
    </row>
    <row r="320" spans="1:32" x14ac:dyDescent="0.2">
      <c r="A320" s="11">
        <v>173</v>
      </c>
      <c r="B320" s="11">
        <f>IF(Open[[#This Row],[PR Rang beim letzten Turnier]]&gt;Open[[#This Row],[PR Rang]],1,IF(Open[[#This Row],[PR Rang beim letzten Turnier]]=Open[[#This Row],[PR Rang]],0,-1))</f>
        <v>-1</v>
      </c>
      <c r="C320" s="147">
        <f>RANK(Open[[#This Row],[PR Punkte]],Open[PR Punkte],0)</f>
        <v>205</v>
      </c>
      <c r="D320" s="25" t="s">
        <v>255</v>
      </c>
      <c r="E320" s="11" t="s">
        <v>14</v>
      </c>
      <c r="F320" s="109">
        <f>SUM(Open[[#This Row],[PR 1]:[PR 3]])</f>
        <v>0</v>
      </c>
      <c r="G320" s="109">
        <f>LARGE(Open[[#This Row],[TS SH O 22.02.22]:[PR3]],1)</f>
        <v>0</v>
      </c>
      <c r="H320" s="109">
        <f>LARGE(Open[[#This Row],[TS SH O 22.02.22]:[PR3]],2)</f>
        <v>0</v>
      </c>
      <c r="I320" s="109">
        <f>LARGE(Open[[#This Row],[TS SH O 22.02.22]:[PR3]],3)</f>
        <v>0</v>
      </c>
      <c r="J320" s="11">
        <f>RANK(K320,$K$7:$K$295,0)</f>
        <v>205</v>
      </c>
      <c r="K320" s="109">
        <f>SUM(L320:W320)</f>
        <v>0</v>
      </c>
      <c r="L320" s="109" t="str">
        <f>IFERROR(VLOOKUP(Open[[#This Row],[TS SH 22.02.22 Rang]],$AJ$16:$AK$111,2,0)*L$5," ")</f>
        <v xml:space="preserve"> </v>
      </c>
      <c r="M320" s="109" t="str">
        <f>IFERROR(VLOOKUP(Open[[#This Row],[TS SH O 23.04.22 Rang]],$AJ$16:$AK$111,2,0)*M$5," ")</f>
        <v xml:space="preserve"> </v>
      </c>
      <c r="N320" s="109" t="str">
        <f>IFERROR(VLOOKUP(Open[[#This Row],[TS LA O 08.05.22 Rang]],$AJ$16:$AK$111,2,0)*N$5," ")</f>
        <v xml:space="preserve"> </v>
      </c>
      <c r="O320" s="109" t="str">
        <f>IFERROR(VLOOKUP(Open[[#This Row],[TS SG O 25.05.22 Rang]],$AJ$16:$AK$111,2,0)*O$5," ")</f>
        <v xml:space="preserve"> </v>
      </c>
      <c r="P320" s="109" t="str">
        <f>IFERROR(VLOOKUP(Open[[#This Row],[TS SH O 25.06.22 Rang]],$AJ$16:$AK$111,2,0)*P$5," ")</f>
        <v xml:space="preserve"> </v>
      </c>
      <c r="Q320" s="109" t="str">
        <f>IFERROR(VLOOKUP(Open[[#This Row],[TS ZH O/A 25.06.22 Rang]],$AJ$16:$AK$111,2,0)*Q$5," ")</f>
        <v xml:space="preserve"> </v>
      </c>
      <c r="R320" s="109" t="str">
        <f>IFERROR(VLOOKUP(Open[[#This Row],[TS ZH O/B 25.06.22 Rang]],$AJ$16:$AK$111,2,0)*R$5," ")</f>
        <v xml:space="preserve"> </v>
      </c>
      <c r="S320" s="109" t="str">
        <f>IFERROR(VLOOKUP(Open[[#This Row],[SM BE O/A 09.07.22 Rang]],$AJ$16:$AK$111,2,0)*S$5," ")</f>
        <v xml:space="preserve"> </v>
      </c>
      <c r="T320" s="109" t="str">
        <f>IFERROR(VLOOKUP(Open[[#This Row],[SM BE O/B 09.07.22 Rang]],$AJ$16:$AK$111,2,0)*T$5," ")</f>
        <v xml:space="preserve"> </v>
      </c>
      <c r="U320" s="11">
        <v>0</v>
      </c>
      <c r="V320" s="11">
        <v>0</v>
      </c>
      <c r="W320" s="11">
        <v>0</v>
      </c>
      <c r="X320" s="129"/>
      <c r="Y320" s="191"/>
      <c r="Z320" s="191"/>
      <c r="AA320" s="191"/>
      <c r="AB320" s="191"/>
      <c r="AC320" s="191"/>
      <c r="AD320" s="191"/>
      <c r="AE320" s="191"/>
      <c r="AF320" s="191"/>
    </row>
    <row r="321" spans="1:32" x14ac:dyDescent="0.2">
      <c r="A321" s="11">
        <v>173</v>
      </c>
      <c r="B321" s="11">
        <f>IF(Open[[#This Row],[PR Rang beim letzten Turnier]]&gt;Open[[#This Row],[PR Rang]],1,IF(Open[[#This Row],[PR Rang beim letzten Turnier]]=Open[[#This Row],[PR Rang]],0,-1))</f>
        <v>-1</v>
      </c>
      <c r="C321" s="147">
        <f>RANK(Open[[#This Row],[PR Punkte]],Open[PR Punkte],0)</f>
        <v>205</v>
      </c>
      <c r="D321" s="25" t="s">
        <v>272</v>
      </c>
      <c r="E321" s="31" t="s">
        <v>11</v>
      </c>
      <c r="F321" s="109">
        <f>SUM(Open[[#This Row],[PR 1]:[PR 3]])</f>
        <v>0</v>
      </c>
      <c r="G321" s="109">
        <f>LARGE(Open[[#This Row],[TS SH O 22.02.22]:[PR3]],1)</f>
        <v>0</v>
      </c>
      <c r="H321" s="109">
        <f>LARGE(Open[[#This Row],[TS SH O 22.02.22]:[PR3]],2)</f>
        <v>0</v>
      </c>
      <c r="I321" s="109">
        <f>LARGE(Open[[#This Row],[TS SH O 22.02.22]:[PR3]],3)</f>
        <v>0</v>
      </c>
      <c r="J321" s="31">
        <f>RANK(K321,$K$7:$K$295,0)</f>
        <v>205</v>
      </c>
      <c r="K321" s="109">
        <f>SUM(L321:W321)</f>
        <v>0</v>
      </c>
      <c r="L321" s="109" t="str">
        <f>IFERROR(VLOOKUP(Open[[#This Row],[TS SH 22.02.22 Rang]],$AJ$16:$AK$111,2,0)*L$5," ")</f>
        <v xml:space="preserve"> </v>
      </c>
      <c r="M321" s="109" t="str">
        <f>IFERROR(VLOOKUP(Open[[#This Row],[TS SH O 23.04.22 Rang]],$AJ$16:$AK$111,2,0)*M$5," ")</f>
        <v xml:space="preserve"> </v>
      </c>
      <c r="N321" s="109" t="str">
        <f>IFERROR(VLOOKUP(Open[[#This Row],[TS LA O 08.05.22 Rang]],$AJ$16:$AK$111,2,0)*N$5," ")</f>
        <v xml:space="preserve"> </v>
      </c>
      <c r="O321" s="109" t="str">
        <f>IFERROR(VLOOKUP(Open[[#This Row],[TS SG O 25.05.22 Rang]],$AJ$16:$AK$111,2,0)*O$5," ")</f>
        <v xml:space="preserve"> </v>
      </c>
      <c r="P321" s="109" t="str">
        <f>IFERROR(VLOOKUP(Open[[#This Row],[TS SH O 25.06.22 Rang]],$AJ$16:$AK$111,2,0)*P$5," ")</f>
        <v xml:space="preserve"> </v>
      </c>
      <c r="Q321" s="109" t="str">
        <f>IFERROR(VLOOKUP(Open[[#This Row],[TS ZH O/A 25.06.22 Rang]],$AJ$16:$AK$111,2,0)*Q$5," ")</f>
        <v xml:space="preserve"> </v>
      </c>
      <c r="R321" s="109" t="str">
        <f>IFERROR(VLOOKUP(Open[[#This Row],[TS ZH O/B 25.06.22 Rang]],$AJ$16:$AK$111,2,0)*R$5," ")</f>
        <v xml:space="preserve"> </v>
      </c>
      <c r="S321" s="109" t="str">
        <f>IFERROR(VLOOKUP(Open[[#This Row],[SM BE O/A 09.07.22 Rang]],$AJ$16:$AK$111,2,0)*S$5," ")</f>
        <v xml:space="preserve"> </v>
      </c>
      <c r="T321" s="109" t="str">
        <f>IFERROR(VLOOKUP(Open[[#This Row],[SM BE O/B 09.07.22 Rang]],$AJ$16:$AK$111,2,0)*T$5," ")</f>
        <v xml:space="preserve"> </v>
      </c>
      <c r="U321" s="11">
        <v>0</v>
      </c>
      <c r="V321" s="11">
        <v>0</v>
      </c>
      <c r="W321" s="11">
        <v>0</v>
      </c>
      <c r="X321" s="129"/>
      <c r="Y321" s="191"/>
      <c r="Z321" s="191"/>
      <c r="AA321" s="191"/>
      <c r="AB321" s="191"/>
      <c r="AC321" s="191"/>
      <c r="AD321" s="191"/>
      <c r="AE321" s="191"/>
      <c r="AF321" s="191"/>
    </row>
    <row r="322" spans="1:32" x14ac:dyDescent="0.2">
      <c r="A322" s="11">
        <v>173</v>
      </c>
      <c r="B322" s="11">
        <f>IF(Open[[#This Row],[PR Rang beim letzten Turnier]]&gt;Open[[#This Row],[PR Rang]],1,IF(Open[[#This Row],[PR Rang beim letzten Turnier]]=Open[[#This Row],[PR Rang]],0,-1))</f>
        <v>-1</v>
      </c>
      <c r="C322" s="147">
        <f>RANK(Open[[#This Row],[PR Punkte]],Open[PR Punkte],0)</f>
        <v>205</v>
      </c>
      <c r="D322" s="25" t="s">
        <v>257</v>
      </c>
      <c r="E322" s="31" t="s">
        <v>0</v>
      </c>
      <c r="F322" s="109">
        <f>SUM(Open[[#This Row],[PR 1]:[PR 3]])</f>
        <v>0</v>
      </c>
      <c r="G322" s="109">
        <f>LARGE(Open[[#This Row],[TS SH O 22.02.22]:[PR3]],1)</f>
        <v>0</v>
      </c>
      <c r="H322" s="109">
        <f>LARGE(Open[[#This Row],[TS SH O 22.02.22]:[PR3]],2)</f>
        <v>0</v>
      </c>
      <c r="I322" s="109">
        <f>LARGE(Open[[#This Row],[TS SH O 22.02.22]:[PR3]],3)</f>
        <v>0</v>
      </c>
      <c r="J322" s="31">
        <f>RANK(K322,$K$7:$K$295,0)</f>
        <v>205</v>
      </c>
      <c r="K322" s="109">
        <f>SUM(L322:W322)</f>
        <v>0</v>
      </c>
      <c r="L322" s="109" t="str">
        <f>IFERROR(VLOOKUP(Open[[#This Row],[TS SH 22.02.22 Rang]],$AJ$16:$AK$111,2,0)*L$5," ")</f>
        <v xml:space="preserve"> </v>
      </c>
      <c r="M322" s="109" t="str">
        <f>IFERROR(VLOOKUP(Open[[#This Row],[TS SH O 23.04.22 Rang]],$AJ$16:$AK$111,2,0)*M$5," ")</f>
        <v xml:space="preserve"> </v>
      </c>
      <c r="N322" s="109" t="str">
        <f>IFERROR(VLOOKUP(Open[[#This Row],[TS LA O 08.05.22 Rang]],$AJ$16:$AK$111,2,0)*N$5," ")</f>
        <v xml:space="preserve"> </v>
      </c>
      <c r="O322" s="109" t="str">
        <f>IFERROR(VLOOKUP(Open[[#This Row],[TS SG O 25.05.22 Rang]],$AJ$16:$AK$111,2,0)*O$5," ")</f>
        <v xml:space="preserve"> </v>
      </c>
      <c r="P322" s="109" t="str">
        <f>IFERROR(VLOOKUP(Open[[#This Row],[TS SH O 25.06.22 Rang]],$AJ$16:$AK$111,2,0)*P$5," ")</f>
        <v xml:space="preserve"> </v>
      </c>
      <c r="Q322" s="109" t="str">
        <f>IFERROR(VLOOKUP(Open[[#This Row],[TS ZH O/A 25.06.22 Rang]],$AJ$16:$AK$111,2,0)*Q$5," ")</f>
        <v xml:space="preserve"> </v>
      </c>
      <c r="R322" s="109" t="str">
        <f>IFERROR(VLOOKUP(Open[[#This Row],[TS ZH O/B 25.06.22 Rang]],$AJ$16:$AK$111,2,0)*R$5," ")</f>
        <v xml:space="preserve"> </v>
      </c>
      <c r="S322" s="109" t="str">
        <f>IFERROR(VLOOKUP(Open[[#This Row],[SM BE O/A 09.07.22 Rang]],$AJ$16:$AK$111,2,0)*S$5," ")</f>
        <v xml:space="preserve"> </v>
      </c>
      <c r="T322" s="109" t="str">
        <f>IFERROR(VLOOKUP(Open[[#This Row],[SM BE O/B 09.07.22 Rang]],$AJ$16:$AK$111,2,0)*T$5," ")</f>
        <v xml:space="preserve"> </v>
      </c>
      <c r="U322" s="11">
        <v>0</v>
      </c>
      <c r="V322" s="11">
        <v>0</v>
      </c>
      <c r="W322" s="11">
        <v>0</v>
      </c>
      <c r="X322" s="129"/>
      <c r="Y322" s="191"/>
      <c r="Z322" s="191"/>
      <c r="AA322" s="191"/>
      <c r="AB322" s="191"/>
      <c r="AC322" s="191"/>
      <c r="AD322" s="191"/>
      <c r="AE322" s="191"/>
      <c r="AF322" s="191"/>
    </row>
    <row r="323" spans="1:32" x14ac:dyDescent="0.2">
      <c r="A323" s="11">
        <v>173</v>
      </c>
      <c r="B323" s="11">
        <f>IF(Open[[#This Row],[PR Rang beim letzten Turnier]]&gt;Open[[#This Row],[PR Rang]],1,IF(Open[[#This Row],[PR Rang beim letzten Turnier]]=Open[[#This Row],[PR Rang]],0,-1))</f>
        <v>-1</v>
      </c>
      <c r="C323" s="147">
        <f>RANK(Open[[#This Row],[PR Punkte]],Open[PR Punkte],0)</f>
        <v>205</v>
      </c>
      <c r="D323" s="25" t="s">
        <v>245</v>
      </c>
      <c r="E323" s="31" t="s">
        <v>14</v>
      </c>
      <c r="F323" s="109">
        <f>SUM(Open[[#This Row],[PR 1]:[PR 3]])</f>
        <v>0</v>
      </c>
      <c r="G323" s="109">
        <f>LARGE(Open[[#This Row],[TS SH O 22.02.22]:[PR3]],1)</f>
        <v>0</v>
      </c>
      <c r="H323" s="109">
        <f>LARGE(Open[[#This Row],[TS SH O 22.02.22]:[PR3]],2)</f>
        <v>0</v>
      </c>
      <c r="I323" s="109">
        <f>LARGE(Open[[#This Row],[TS SH O 22.02.22]:[PR3]],3)</f>
        <v>0</v>
      </c>
      <c r="J323" s="31">
        <f>RANK(K323,$K$7:$K$295,0)</f>
        <v>205</v>
      </c>
      <c r="K323" s="109">
        <f>SUM(L323:W323)</f>
        <v>0</v>
      </c>
      <c r="L323" s="109" t="str">
        <f>IFERROR(VLOOKUP(Open[[#This Row],[TS SH 22.02.22 Rang]],$AJ$16:$AK$111,2,0)*L$5," ")</f>
        <v xml:space="preserve"> </v>
      </c>
      <c r="M323" s="109" t="str">
        <f>IFERROR(VLOOKUP(Open[[#This Row],[TS SH O 23.04.22 Rang]],$AJ$16:$AK$111,2,0)*M$5," ")</f>
        <v xml:space="preserve"> </v>
      </c>
      <c r="N323" s="109" t="str">
        <f>IFERROR(VLOOKUP(Open[[#This Row],[TS LA O 08.05.22 Rang]],$AJ$16:$AK$111,2,0)*N$5," ")</f>
        <v xml:space="preserve"> </v>
      </c>
      <c r="O323" s="109" t="str">
        <f>IFERROR(VLOOKUP(Open[[#This Row],[TS SG O 25.05.22 Rang]],$AJ$16:$AK$111,2,0)*O$5," ")</f>
        <v xml:space="preserve"> </v>
      </c>
      <c r="P323" s="109" t="str">
        <f>IFERROR(VLOOKUP(Open[[#This Row],[TS SH O 25.06.22 Rang]],$AJ$16:$AK$111,2,0)*P$5," ")</f>
        <v xml:space="preserve"> </v>
      </c>
      <c r="Q323" s="109" t="str">
        <f>IFERROR(VLOOKUP(Open[[#This Row],[TS ZH O/A 25.06.22 Rang]],$AJ$16:$AK$111,2,0)*Q$5," ")</f>
        <v xml:space="preserve"> </v>
      </c>
      <c r="R323" s="109" t="str">
        <f>IFERROR(VLOOKUP(Open[[#This Row],[TS ZH O/B 25.06.22 Rang]],$AJ$16:$AK$111,2,0)*R$5," ")</f>
        <v xml:space="preserve"> </v>
      </c>
      <c r="S323" s="109" t="str">
        <f>IFERROR(VLOOKUP(Open[[#This Row],[SM BE O/A 09.07.22 Rang]],$AJ$16:$AK$111,2,0)*S$5," ")</f>
        <v xml:space="preserve"> </v>
      </c>
      <c r="T323" s="109" t="str">
        <f>IFERROR(VLOOKUP(Open[[#This Row],[SM BE O/B 09.07.22 Rang]],$AJ$16:$AK$111,2,0)*T$5," ")</f>
        <v xml:space="preserve"> </v>
      </c>
      <c r="U323" s="11">
        <v>0</v>
      </c>
      <c r="V323" s="11">
        <v>0</v>
      </c>
      <c r="W323" s="11">
        <v>0</v>
      </c>
      <c r="X323" s="129"/>
      <c r="Y323" s="191"/>
      <c r="Z323" s="191"/>
      <c r="AA323" s="191"/>
      <c r="AB323" s="191"/>
      <c r="AC323" s="191"/>
      <c r="AD323" s="191"/>
      <c r="AE323" s="191"/>
      <c r="AF323" s="191"/>
    </row>
    <row r="324" spans="1:32" x14ac:dyDescent="0.2">
      <c r="A324" s="11">
        <v>173</v>
      </c>
      <c r="B324" s="11">
        <f>IF(Open[[#This Row],[PR Rang beim letzten Turnier]]&gt;Open[[#This Row],[PR Rang]],1,IF(Open[[#This Row],[PR Rang beim letzten Turnier]]=Open[[#This Row],[PR Rang]],0,-1))</f>
        <v>-1</v>
      </c>
      <c r="C324" s="147">
        <f>RANK(Open[[#This Row],[PR Punkte]],Open[PR Punkte],0)</f>
        <v>205</v>
      </c>
      <c r="D324" s="25" t="s">
        <v>271</v>
      </c>
      <c r="E324" s="11" t="s">
        <v>7</v>
      </c>
      <c r="F324" s="109">
        <f>SUM(Open[[#This Row],[PR 1]:[PR 3]])</f>
        <v>0</v>
      </c>
      <c r="G324" s="109">
        <f>LARGE(Open[[#This Row],[TS SH O 22.02.22]:[PR3]],1)</f>
        <v>0</v>
      </c>
      <c r="H324" s="109">
        <f>LARGE(Open[[#This Row],[TS SH O 22.02.22]:[PR3]],2)</f>
        <v>0</v>
      </c>
      <c r="I324" s="109">
        <f>LARGE(Open[[#This Row],[TS SH O 22.02.22]:[PR3]],3)</f>
        <v>0</v>
      </c>
      <c r="J324" s="11">
        <f>RANK(K324,$K$7:$K$295,0)</f>
        <v>205</v>
      </c>
      <c r="K324" s="109">
        <f>SUM(L324:W324)</f>
        <v>0</v>
      </c>
      <c r="L324" s="109" t="str">
        <f>IFERROR(VLOOKUP(Open[[#This Row],[TS SH 22.02.22 Rang]],$AJ$16:$AK$111,2,0)*L$5," ")</f>
        <v xml:space="preserve"> </v>
      </c>
      <c r="M324" s="109" t="str">
        <f>IFERROR(VLOOKUP(Open[[#This Row],[TS SH O 23.04.22 Rang]],$AJ$16:$AK$111,2,0)*M$5," ")</f>
        <v xml:space="preserve"> </v>
      </c>
      <c r="N324" s="109" t="str">
        <f>IFERROR(VLOOKUP(Open[[#This Row],[TS LA O 08.05.22 Rang]],$AJ$16:$AK$111,2,0)*N$5," ")</f>
        <v xml:space="preserve"> </v>
      </c>
      <c r="O324" s="109" t="str">
        <f>IFERROR(VLOOKUP(Open[[#This Row],[TS SG O 25.05.22 Rang]],$AJ$16:$AK$111,2,0)*O$5," ")</f>
        <v xml:space="preserve"> </v>
      </c>
      <c r="P324" s="109" t="str">
        <f>IFERROR(VLOOKUP(Open[[#This Row],[TS SH O 25.06.22 Rang]],$AJ$16:$AK$111,2,0)*P$5," ")</f>
        <v xml:space="preserve"> </v>
      </c>
      <c r="Q324" s="109" t="str">
        <f>IFERROR(VLOOKUP(Open[[#This Row],[TS ZH O/A 25.06.22 Rang]],$AJ$16:$AK$111,2,0)*Q$5," ")</f>
        <v xml:space="preserve"> </v>
      </c>
      <c r="R324" s="109" t="str">
        <f>IFERROR(VLOOKUP(Open[[#This Row],[TS ZH O/B 25.06.22 Rang]],$AJ$16:$AK$111,2,0)*R$5," ")</f>
        <v xml:space="preserve"> </v>
      </c>
      <c r="S324" s="109" t="str">
        <f>IFERROR(VLOOKUP(Open[[#This Row],[SM BE O/A 09.07.22 Rang]],$AJ$16:$AK$111,2,0)*S$5," ")</f>
        <v xml:space="preserve"> </v>
      </c>
      <c r="T324" s="109" t="str">
        <f>IFERROR(VLOOKUP(Open[[#This Row],[SM BE O/B 09.07.22 Rang]],$AJ$16:$AK$111,2,0)*T$5," ")</f>
        <v xml:space="preserve"> </v>
      </c>
      <c r="U324" s="11">
        <v>0</v>
      </c>
      <c r="V324" s="11">
        <v>0</v>
      </c>
      <c r="W324" s="11">
        <v>0</v>
      </c>
      <c r="X324" s="129"/>
      <c r="Y324" s="191"/>
      <c r="Z324" s="191"/>
      <c r="AA324" s="191"/>
      <c r="AB324" s="191"/>
      <c r="AC324" s="191"/>
      <c r="AD324" s="191"/>
      <c r="AE324" s="191"/>
      <c r="AF324" s="191"/>
    </row>
    <row r="325" spans="1:32" x14ac:dyDescent="0.2">
      <c r="A325" s="11">
        <v>173</v>
      </c>
      <c r="B325" s="11">
        <f>IF(Open[[#This Row],[PR Rang beim letzten Turnier]]&gt;Open[[#This Row],[PR Rang]],1,IF(Open[[#This Row],[PR Rang beim letzten Turnier]]=Open[[#This Row],[PR Rang]],0,-1))</f>
        <v>-1</v>
      </c>
      <c r="C325" s="147">
        <f>RANK(Open[[#This Row],[PR Punkte]],Open[PR Punkte],0)</f>
        <v>205</v>
      </c>
      <c r="D325" s="25" t="s">
        <v>254</v>
      </c>
      <c r="E325" s="31" t="s">
        <v>14</v>
      </c>
      <c r="F325" s="109">
        <f>SUM(Open[[#This Row],[PR 1]:[PR 3]])</f>
        <v>0</v>
      </c>
      <c r="G325" s="109">
        <f>LARGE(Open[[#This Row],[TS SH O 22.02.22]:[PR3]],1)</f>
        <v>0</v>
      </c>
      <c r="H325" s="109">
        <f>LARGE(Open[[#This Row],[TS SH O 22.02.22]:[PR3]],2)</f>
        <v>0</v>
      </c>
      <c r="I325" s="109">
        <f>LARGE(Open[[#This Row],[TS SH O 22.02.22]:[PR3]],3)</f>
        <v>0</v>
      </c>
      <c r="J325" s="31">
        <f>RANK(K325,$K$7:$K$295,0)</f>
        <v>205</v>
      </c>
      <c r="K325" s="109">
        <f>SUM(L325:W325)</f>
        <v>0</v>
      </c>
      <c r="L325" s="109" t="str">
        <f>IFERROR(VLOOKUP(Open[[#This Row],[TS SH 22.02.22 Rang]],$AJ$16:$AK$111,2,0)*L$5," ")</f>
        <v xml:space="preserve"> </v>
      </c>
      <c r="M325" s="109" t="str">
        <f>IFERROR(VLOOKUP(Open[[#This Row],[TS SH O 23.04.22 Rang]],$AJ$16:$AK$111,2,0)*M$5," ")</f>
        <v xml:space="preserve"> </v>
      </c>
      <c r="N325" s="109" t="str">
        <f>IFERROR(VLOOKUP(Open[[#This Row],[TS LA O 08.05.22 Rang]],$AJ$16:$AK$111,2,0)*N$5," ")</f>
        <v xml:space="preserve"> </v>
      </c>
      <c r="O325" s="109" t="str">
        <f>IFERROR(VLOOKUP(Open[[#This Row],[TS SG O 25.05.22 Rang]],$AJ$16:$AK$111,2,0)*O$5," ")</f>
        <v xml:space="preserve"> </v>
      </c>
      <c r="P325" s="109" t="str">
        <f>IFERROR(VLOOKUP(Open[[#This Row],[TS SH O 25.06.22 Rang]],$AJ$16:$AK$111,2,0)*P$5," ")</f>
        <v xml:space="preserve"> </v>
      </c>
      <c r="Q325" s="109" t="str">
        <f>IFERROR(VLOOKUP(Open[[#This Row],[TS ZH O/A 25.06.22 Rang]],$AJ$16:$AK$111,2,0)*Q$5," ")</f>
        <v xml:space="preserve"> </v>
      </c>
      <c r="R325" s="109" t="str">
        <f>IFERROR(VLOOKUP(Open[[#This Row],[TS ZH O/B 25.06.22 Rang]],$AJ$16:$AK$111,2,0)*R$5," ")</f>
        <v xml:space="preserve"> </v>
      </c>
      <c r="S325" s="109" t="str">
        <f>IFERROR(VLOOKUP(Open[[#This Row],[SM BE O/A 09.07.22 Rang]],$AJ$16:$AK$111,2,0)*S$5," ")</f>
        <v xml:space="preserve"> </v>
      </c>
      <c r="T325" s="109" t="str">
        <f>IFERROR(VLOOKUP(Open[[#This Row],[SM BE O/B 09.07.22 Rang]],$AJ$16:$AK$111,2,0)*T$5," ")</f>
        <v xml:space="preserve"> </v>
      </c>
      <c r="U325" s="11">
        <v>0</v>
      </c>
      <c r="V325" s="11">
        <v>0</v>
      </c>
      <c r="W325" s="11">
        <v>0</v>
      </c>
      <c r="X325" s="129"/>
      <c r="Y325" s="191"/>
      <c r="Z325" s="191"/>
      <c r="AA325" s="191"/>
      <c r="AB325" s="191"/>
      <c r="AC325" s="191"/>
      <c r="AD325" s="191"/>
      <c r="AE325" s="191"/>
      <c r="AF325" s="191"/>
    </row>
    <row r="326" spans="1:32" x14ac:dyDescent="0.2">
      <c r="A326" s="11">
        <v>173</v>
      </c>
      <c r="B326" s="11">
        <f>IF(Open[[#This Row],[PR Rang beim letzten Turnier]]&gt;Open[[#This Row],[PR Rang]],1,IF(Open[[#This Row],[PR Rang beim letzten Turnier]]=Open[[#This Row],[PR Rang]],0,-1))</f>
        <v>-1</v>
      </c>
      <c r="C326" s="147">
        <f>RANK(Open[[#This Row],[PR Punkte]],Open[PR Punkte],0)</f>
        <v>205</v>
      </c>
      <c r="D326" s="25" t="s">
        <v>279</v>
      </c>
      <c r="E326" s="31" t="s">
        <v>11</v>
      </c>
      <c r="F326" s="109">
        <f>SUM(Open[[#This Row],[PR 1]:[PR 3]])</f>
        <v>0</v>
      </c>
      <c r="G326" s="109">
        <f>LARGE(Open[[#This Row],[TS SH O 22.02.22]:[PR3]],1)</f>
        <v>0</v>
      </c>
      <c r="H326" s="109">
        <f>LARGE(Open[[#This Row],[TS SH O 22.02.22]:[PR3]],2)</f>
        <v>0</v>
      </c>
      <c r="I326" s="109">
        <f>LARGE(Open[[#This Row],[TS SH O 22.02.22]:[PR3]],3)</f>
        <v>0</v>
      </c>
      <c r="J326" s="31">
        <f>RANK(K326,$K$7:$K$295,0)</f>
        <v>205</v>
      </c>
      <c r="K326" s="109">
        <f>SUM(L326:W326)</f>
        <v>0</v>
      </c>
      <c r="L326" s="109" t="str">
        <f>IFERROR(VLOOKUP(Open[[#This Row],[TS SH 22.02.22 Rang]],$AJ$16:$AK$111,2,0)*L$5," ")</f>
        <v xml:space="preserve"> </v>
      </c>
      <c r="M326" s="109" t="str">
        <f>IFERROR(VLOOKUP(Open[[#This Row],[TS SH O 23.04.22 Rang]],$AJ$16:$AK$111,2,0)*M$5," ")</f>
        <v xml:space="preserve"> </v>
      </c>
      <c r="N326" s="109" t="str">
        <f>IFERROR(VLOOKUP(Open[[#This Row],[TS LA O 08.05.22 Rang]],$AJ$16:$AK$111,2,0)*N$5," ")</f>
        <v xml:space="preserve"> </v>
      </c>
      <c r="O326" s="109" t="str">
        <f>IFERROR(VLOOKUP(Open[[#This Row],[TS SG O 25.05.22 Rang]],$AJ$16:$AK$111,2,0)*O$5," ")</f>
        <v xml:space="preserve"> </v>
      </c>
      <c r="P326" s="109" t="str">
        <f>IFERROR(VLOOKUP(Open[[#This Row],[TS SH O 25.06.22 Rang]],$AJ$16:$AK$111,2,0)*P$5," ")</f>
        <v xml:space="preserve"> </v>
      </c>
      <c r="Q326" s="109" t="str">
        <f>IFERROR(VLOOKUP(Open[[#This Row],[TS ZH O/A 25.06.22 Rang]],$AJ$16:$AK$111,2,0)*Q$5," ")</f>
        <v xml:space="preserve"> </v>
      </c>
      <c r="R326" s="109" t="str">
        <f>IFERROR(VLOOKUP(Open[[#This Row],[TS ZH O/B 25.06.22 Rang]],$AJ$16:$AK$111,2,0)*R$5," ")</f>
        <v xml:space="preserve"> </v>
      </c>
      <c r="S326" s="109" t="str">
        <f>IFERROR(VLOOKUP(Open[[#This Row],[SM BE O/A 09.07.22 Rang]],$AJ$16:$AK$111,2,0)*S$5," ")</f>
        <v xml:space="preserve"> </v>
      </c>
      <c r="T326" s="109" t="str">
        <f>IFERROR(VLOOKUP(Open[[#This Row],[SM BE O/B 09.07.22 Rang]],$AJ$16:$AK$111,2,0)*T$5," ")</f>
        <v xml:space="preserve"> </v>
      </c>
      <c r="U326" s="11">
        <v>0</v>
      </c>
      <c r="V326" s="11">
        <v>0</v>
      </c>
      <c r="W326" s="11">
        <v>0</v>
      </c>
      <c r="X326" s="129"/>
      <c r="Y326" s="191"/>
      <c r="Z326" s="191"/>
      <c r="AA326" s="191"/>
      <c r="AB326" s="191"/>
      <c r="AC326" s="191"/>
      <c r="AD326" s="191"/>
      <c r="AE326" s="191"/>
      <c r="AF326" s="191"/>
    </row>
    <row r="327" spans="1:32" x14ac:dyDescent="0.2">
      <c r="A327" s="11">
        <v>173</v>
      </c>
      <c r="B327" s="11">
        <f>IF(Open[[#This Row],[PR Rang beim letzten Turnier]]&gt;Open[[#This Row],[PR Rang]],1,IF(Open[[#This Row],[PR Rang beim letzten Turnier]]=Open[[#This Row],[PR Rang]],0,-1))</f>
        <v>-1</v>
      </c>
      <c r="C327" s="147">
        <f>RANK(Open[[#This Row],[PR Punkte]],Open[PR Punkte],0)</f>
        <v>205</v>
      </c>
      <c r="D327" s="25" t="s">
        <v>273</v>
      </c>
      <c r="E327" s="31" t="s">
        <v>17</v>
      </c>
      <c r="F327" s="109">
        <f>SUM(Open[[#This Row],[PR 1]:[PR 3]])</f>
        <v>0</v>
      </c>
      <c r="G327" s="109">
        <f>LARGE(Open[[#This Row],[TS SH O 22.02.22]:[PR3]],1)</f>
        <v>0</v>
      </c>
      <c r="H327" s="109">
        <f>LARGE(Open[[#This Row],[TS SH O 22.02.22]:[PR3]],2)</f>
        <v>0</v>
      </c>
      <c r="I327" s="109">
        <f>LARGE(Open[[#This Row],[TS SH O 22.02.22]:[PR3]],3)</f>
        <v>0</v>
      </c>
      <c r="J327" s="31">
        <f>RANK(K327,$K$7:$K$295,0)</f>
        <v>205</v>
      </c>
      <c r="K327" s="109">
        <f>SUM(L327:W327)</f>
        <v>0</v>
      </c>
      <c r="L327" s="109" t="str">
        <f>IFERROR(VLOOKUP(Open[[#This Row],[TS SH 22.02.22 Rang]],$AJ$16:$AK$111,2,0)*L$5," ")</f>
        <v xml:space="preserve"> </v>
      </c>
      <c r="M327" s="109" t="str">
        <f>IFERROR(VLOOKUP(Open[[#This Row],[TS SH O 23.04.22 Rang]],$AJ$16:$AK$111,2,0)*M$5," ")</f>
        <v xml:space="preserve"> </v>
      </c>
      <c r="N327" s="109" t="str">
        <f>IFERROR(VLOOKUP(Open[[#This Row],[TS LA O 08.05.22 Rang]],$AJ$16:$AK$111,2,0)*N$5," ")</f>
        <v xml:space="preserve"> </v>
      </c>
      <c r="O327" s="109" t="str">
        <f>IFERROR(VLOOKUP(Open[[#This Row],[TS SG O 25.05.22 Rang]],$AJ$16:$AK$111,2,0)*O$5," ")</f>
        <v xml:space="preserve"> </v>
      </c>
      <c r="P327" s="109" t="str">
        <f>IFERROR(VLOOKUP(Open[[#This Row],[TS SH O 25.06.22 Rang]],$AJ$16:$AK$111,2,0)*P$5," ")</f>
        <v xml:space="preserve"> </v>
      </c>
      <c r="Q327" s="109" t="str">
        <f>IFERROR(VLOOKUP(Open[[#This Row],[TS ZH O/A 25.06.22 Rang]],$AJ$16:$AK$111,2,0)*Q$5," ")</f>
        <v xml:space="preserve"> </v>
      </c>
      <c r="R327" s="109" t="str">
        <f>IFERROR(VLOOKUP(Open[[#This Row],[TS ZH O/B 25.06.22 Rang]],$AJ$16:$AK$111,2,0)*R$5," ")</f>
        <v xml:space="preserve"> </v>
      </c>
      <c r="S327" s="109" t="str">
        <f>IFERROR(VLOOKUP(Open[[#This Row],[SM BE O/A 09.07.22 Rang]],$AJ$16:$AK$111,2,0)*S$5," ")</f>
        <v xml:space="preserve"> </v>
      </c>
      <c r="T327" s="109" t="str">
        <f>IFERROR(VLOOKUP(Open[[#This Row],[SM BE O/B 09.07.22 Rang]],$AJ$16:$AK$111,2,0)*T$5," ")</f>
        <v xml:space="preserve"> </v>
      </c>
      <c r="U327" s="11">
        <v>0</v>
      </c>
      <c r="V327" s="11">
        <v>0</v>
      </c>
      <c r="W327" s="11">
        <v>0</v>
      </c>
      <c r="X327" s="129"/>
      <c r="Y327" s="191"/>
      <c r="Z327" s="191"/>
      <c r="AA327" s="191"/>
      <c r="AB327" s="191"/>
      <c r="AC327" s="191"/>
      <c r="AD327" s="191"/>
      <c r="AE327" s="191"/>
      <c r="AF327" s="191"/>
    </row>
    <row r="328" spans="1:32" x14ac:dyDescent="0.2">
      <c r="A328" s="11">
        <v>173</v>
      </c>
      <c r="B328" s="11">
        <f>IF(Open[[#This Row],[PR Rang beim letzten Turnier]]&gt;Open[[#This Row],[PR Rang]],1,IF(Open[[#This Row],[PR Rang beim letzten Turnier]]=Open[[#This Row],[PR Rang]],0,-1))</f>
        <v>-1</v>
      </c>
      <c r="C328" s="147">
        <f>RANK(Open[[#This Row],[PR Punkte]],Open[PR Punkte],0)</f>
        <v>205</v>
      </c>
      <c r="D328" s="25" t="s">
        <v>262</v>
      </c>
      <c r="E328" s="31" t="s">
        <v>11</v>
      </c>
      <c r="F328" s="109">
        <f>SUM(Open[[#This Row],[PR 1]:[PR 3]])</f>
        <v>0</v>
      </c>
      <c r="G328" s="109">
        <f>LARGE(Open[[#This Row],[TS SH O 22.02.22]:[PR3]],1)</f>
        <v>0</v>
      </c>
      <c r="H328" s="109">
        <f>LARGE(Open[[#This Row],[TS SH O 22.02.22]:[PR3]],2)</f>
        <v>0</v>
      </c>
      <c r="I328" s="109">
        <f>LARGE(Open[[#This Row],[TS SH O 22.02.22]:[PR3]],3)</f>
        <v>0</v>
      </c>
      <c r="J328" s="31">
        <f>RANK(K328,$K$7:$K$295,0)</f>
        <v>205</v>
      </c>
      <c r="K328" s="109">
        <f>SUM(L328:W328)</f>
        <v>0</v>
      </c>
      <c r="L328" s="109" t="str">
        <f>IFERROR(VLOOKUP(Open[[#This Row],[TS SH 22.02.22 Rang]],$AJ$16:$AK$111,2,0)*L$5," ")</f>
        <v xml:space="preserve"> </v>
      </c>
      <c r="M328" s="109" t="str">
        <f>IFERROR(VLOOKUP(Open[[#This Row],[TS SH O 23.04.22 Rang]],$AJ$16:$AK$111,2,0)*M$5," ")</f>
        <v xml:space="preserve"> </v>
      </c>
      <c r="N328" s="109" t="str">
        <f>IFERROR(VLOOKUP(Open[[#This Row],[TS LA O 08.05.22 Rang]],$AJ$16:$AK$111,2,0)*N$5," ")</f>
        <v xml:space="preserve"> </v>
      </c>
      <c r="O328" s="109" t="str">
        <f>IFERROR(VLOOKUP(Open[[#This Row],[TS SG O 25.05.22 Rang]],$AJ$16:$AK$111,2,0)*O$5," ")</f>
        <v xml:space="preserve"> </v>
      </c>
      <c r="P328" s="109" t="str">
        <f>IFERROR(VLOOKUP(Open[[#This Row],[TS SH O 25.06.22 Rang]],$AJ$16:$AK$111,2,0)*P$5," ")</f>
        <v xml:space="preserve"> </v>
      </c>
      <c r="Q328" s="109" t="str">
        <f>IFERROR(VLOOKUP(Open[[#This Row],[TS ZH O/A 25.06.22 Rang]],$AJ$16:$AK$111,2,0)*Q$5," ")</f>
        <v xml:space="preserve"> </v>
      </c>
      <c r="R328" s="109" t="str">
        <f>IFERROR(VLOOKUP(Open[[#This Row],[TS ZH O/B 25.06.22 Rang]],$AJ$16:$AK$111,2,0)*R$5," ")</f>
        <v xml:space="preserve"> </v>
      </c>
      <c r="S328" s="109" t="str">
        <f>IFERROR(VLOOKUP(Open[[#This Row],[SM BE O/A 09.07.22 Rang]],$AJ$16:$AK$111,2,0)*S$5," ")</f>
        <v xml:space="preserve"> </v>
      </c>
      <c r="T328" s="109" t="str">
        <f>IFERROR(VLOOKUP(Open[[#This Row],[SM BE O/B 09.07.22 Rang]],$AJ$16:$AK$111,2,0)*T$5," ")</f>
        <v xml:space="preserve"> </v>
      </c>
      <c r="U328" s="11">
        <v>0</v>
      </c>
      <c r="V328" s="11">
        <v>0</v>
      </c>
      <c r="W328" s="11">
        <v>0</v>
      </c>
      <c r="X328" s="129"/>
      <c r="Y328" s="191"/>
      <c r="Z328" s="191"/>
      <c r="AA328" s="191"/>
      <c r="AB328" s="191"/>
      <c r="AC328" s="191"/>
      <c r="AD328" s="191"/>
      <c r="AE328" s="191"/>
      <c r="AF328" s="191"/>
    </row>
    <row r="329" spans="1:32" x14ac:dyDescent="0.2">
      <c r="A329" s="11">
        <v>173</v>
      </c>
      <c r="B329" s="11">
        <f>IF(Open[[#This Row],[PR Rang beim letzten Turnier]]&gt;Open[[#This Row],[PR Rang]],1,IF(Open[[#This Row],[PR Rang beim letzten Turnier]]=Open[[#This Row],[PR Rang]],0,-1))</f>
        <v>-1</v>
      </c>
      <c r="C329" s="147">
        <f>RANK(Open[[#This Row],[PR Punkte]],Open[PR Punkte],0)</f>
        <v>205</v>
      </c>
      <c r="D329" s="25" t="s">
        <v>268</v>
      </c>
      <c r="E329" s="31" t="s">
        <v>11</v>
      </c>
      <c r="F329" s="109">
        <f>SUM(Open[[#This Row],[PR 1]:[PR 3]])</f>
        <v>0</v>
      </c>
      <c r="G329" s="109">
        <f>LARGE(Open[[#This Row],[TS SH O 22.02.22]:[PR3]],1)</f>
        <v>0</v>
      </c>
      <c r="H329" s="109">
        <f>LARGE(Open[[#This Row],[TS SH O 22.02.22]:[PR3]],2)</f>
        <v>0</v>
      </c>
      <c r="I329" s="109">
        <f>LARGE(Open[[#This Row],[TS SH O 22.02.22]:[PR3]],3)</f>
        <v>0</v>
      </c>
      <c r="J329" s="31">
        <f>RANK(K329,$K$7:$K$295,0)</f>
        <v>205</v>
      </c>
      <c r="K329" s="109">
        <f>SUM(L329:W329)</f>
        <v>0</v>
      </c>
      <c r="L329" s="109" t="str">
        <f>IFERROR(VLOOKUP(Open[[#This Row],[TS SH 22.02.22 Rang]],$AJ$16:$AK$111,2,0)*L$5," ")</f>
        <v xml:space="preserve"> </v>
      </c>
      <c r="M329" s="109" t="str">
        <f>IFERROR(VLOOKUP(Open[[#This Row],[TS SH O 23.04.22 Rang]],$AJ$16:$AK$111,2,0)*M$5," ")</f>
        <v xml:space="preserve"> </v>
      </c>
      <c r="N329" s="109" t="str">
        <f>IFERROR(VLOOKUP(Open[[#This Row],[TS LA O 08.05.22 Rang]],$AJ$16:$AK$111,2,0)*N$5," ")</f>
        <v xml:space="preserve"> </v>
      </c>
      <c r="O329" s="109" t="str">
        <f>IFERROR(VLOOKUP(Open[[#This Row],[TS SG O 25.05.22 Rang]],$AJ$16:$AK$111,2,0)*O$5," ")</f>
        <v xml:space="preserve"> </v>
      </c>
      <c r="P329" s="109" t="str">
        <f>IFERROR(VLOOKUP(Open[[#This Row],[TS SH O 25.06.22 Rang]],$AJ$16:$AK$111,2,0)*P$5," ")</f>
        <v xml:space="preserve"> </v>
      </c>
      <c r="Q329" s="109" t="str">
        <f>IFERROR(VLOOKUP(Open[[#This Row],[TS ZH O/A 25.06.22 Rang]],$AJ$16:$AK$111,2,0)*Q$5," ")</f>
        <v xml:space="preserve"> </v>
      </c>
      <c r="R329" s="109" t="str">
        <f>IFERROR(VLOOKUP(Open[[#This Row],[TS ZH O/B 25.06.22 Rang]],$AJ$16:$AK$111,2,0)*R$5," ")</f>
        <v xml:space="preserve"> </v>
      </c>
      <c r="S329" s="109" t="str">
        <f>IFERROR(VLOOKUP(Open[[#This Row],[SM BE O/A 09.07.22 Rang]],$AJ$16:$AK$111,2,0)*S$5," ")</f>
        <v xml:space="preserve"> </v>
      </c>
      <c r="T329" s="109" t="str">
        <f>IFERROR(VLOOKUP(Open[[#This Row],[SM BE O/B 09.07.22 Rang]],$AJ$16:$AK$111,2,0)*T$5," ")</f>
        <v xml:space="preserve"> </v>
      </c>
      <c r="U329" s="11">
        <v>0</v>
      </c>
      <c r="V329" s="11">
        <v>0</v>
      </c>
      <c r="W329" s="11">
        <v>0</v>
      </c>
      <c r="X329" s="129"/>
      <c r="Y329" s="191"/>
      <c r="Z329" s="191"/>
      <c r="AA329" s="191"/>
      <c r="AB329" s="191"/>
      <c r="AC329" s="191"/>
      <c r="AD329" s="191"/>
      <c r="AE329" s="191"/>
      <c r="AF329" s="191"/>
    </row>
    <row r="330" spans="1:32" x14ac:dyDescent="0.2">
      <c r="A330" s="11">
        <v>173</v>
      </c>
      <c r="B330" s="11">
        <f>IF(Open[[#This Row],[PR Rang beim letzten Turnier]]&gt;Open[[#This Row],[PR Rang]],1,IF(Open[[#This Row],[PR Rang beim letzten Turnier]]=Open[[#This Row],[PR Rang]],0,-1))</f>
        <v>-1</v>
      </c>
      <c r="C330" s="147">
        <f>RANK(Open[[#This Row],[PR Punkte]],Open[PR Punkte],0)</f>
        <v>205</v>
      </c>
      <c r="D330" s="33" t="s">
        <v>385</v>
      </c>
      <c r="E330" s="9" t="s">
        <v>8</v>
      </c>
      <c r="F330" s="109">
        <f>SUM(Open[[#This Row],[PR 1]:[PR 3]])</f>
        <v>0</v>
      </c>
      <c r="G330" s="109">
        <f>LARGE(Open[[#This Row],[TS SH O 22.02.22]:[PR3]],1)</f>
        <v>0</v>
      </c>
      <c r="H330" s="109">
        <f>LARGE(Open[[#This Row],[TS SH O 22.02.22]:[PR3]],2)</f>
        <v>0</v>
      </c>
      <c r="I330" s="109">
        <f>LARGE(Open[[#This Row],[TS SH O 22.02.22]:[PR3]],3)</f>
        <v>0</v>
      </c>
      <c r="J330" s="9">
        <f>RANK(K330,$K$7:$K$361,0)</f>
        <v>205</v>
      </c>
      <c r="K330" s="109">
        <f>SUM(L330:W330)</f>
        <v>0</v>
      </c>
      <c r="L330" s="109" t="str">
        <f>IFERROR(VLOOKUP(Open[[#This Row],[TS SH 22.02.22 Rang]],$AJ$16:$AK$111,2,0)*L$5," ")</f>
        <v xml:space="preserve"> </v>
      </c>
      <c r="M330" s="109" t="str">
        <f>IFERROR(VLOOKUP(Open[[#This Row],[TS SH O 23.04.22 Rang]],$AJ$16:$AK$111,2,0)*M$5," ")</f>
        <v xml:space="preserve"> </v>
      </c>
      <c r="N330" s="109" t="str">
        <f>IFERROR(VLOOKUP(Open[[#This Row],[TS LA O 08.05.22 Rang]],$AJ$16:$AK$111,2,0)*N$5," ")</f>
        <v xml:space="preserve"> </v>
      </c>
      <c r="O330" s="109" t="str">
        <f>IFERROR(VLOOKUP(Open[[#This Row],[TS SG O 25.05.22 Rang]],$AJ$16:$AK$111,2,0)*O$5," ")</f>
        <v xml:space="preserve"> </v>
      </c>
      <c r="P330" s="109" t="str">
        <f>IFERROR(VLOOKUP(Open[[#This Row],[TS SH O 25.06.22 Rang]],$AJ$16:$AK$111,2,0)*P$5," ")</f>
        <v xml:space="preserve"> </v>
      </c>
      <c r="Q330" s="109" t="str">
        <f>IFERROR(VLOOKUP(Open[[#This Row],[TS ZH O/A 25.06.22 Rang]],$AJ$16:$AK$111,2,0)*Q$5," ")</f>
        <v xml:space="preserve"> </v>
      </c>
      <c r="R330" s="109" t="str">
        <f>IFERROR(VLOOKUP(Open[[#This Row],[TS ZH O/B 25.06.22 Rang]],$AJ$16:$AK$111,2,0)*R$5," ")</f>
        <v xml:space="preserve"> </v>
      </c>
      <c r="S330" s="109" t="str">
        <f>IFERROR(VLOOKUP(Open[[#This Row],[SM BE O/A 09.07.22 Rang]],$AJ$16:$AK$111,2,0)*S$5," ")</f>
        <v xml:space="preserve"> </v>
      </c>
      <c r="T330" s="109" t="str">
        <f>IFERROR(VLOOKUP(Open[[#This Row],[SM BE O/B 09.07.22 Rang]],$AJ$16:$AK$111,2,0)*T$5," ")</f>
        <v xml:space="preserve"> </v>
      </c>
      <c r="U330" s="11">
        <v>0</v>
      </c>
      <c r="V330" s="11">
        <v>0</v>
      </c>
      <c r="W330" s="11">
        <v>0</v>
      </c>
      <c r="X330" s="129"/>
      <c r="Y330" s="191"/>
      <c r="Z330" s="191"/>
      <c r="AA330" s="191"/>
      <c r="AB330" s="191"/>
      <c r="AC330" s="191"/>
      <c r="AD330" s="191"/>
      <c r="AE330" s="191"/>
      <c r="AF330" s="191"/>
    </row>
    <row r="331" spans="1:32" x14ac:dyDescent="0.2">
      <c r="A331" s="11">
        <v>173</v>
      </c>
      <c r="B331" s="11">
        <f>IF(Open[[#This Row],[PR Rang beim letzten Turnier]]&gt;Open[[#This Row],[PR Rang]],1,IF(Open[[#This Row],[PR Rang beim letzten Turnier]]=Open[[#This Row],[PR Rang]],0,-1))</f>
        <v>-1</v>
      </c>
      <c r="C331" s="147">
        <f>RANK(Open[[#This Row],[PR Punkte]],Open[PR Punkte],0)</f>
        <v>205</v>
      </c>
      <c r="D331" s="11" t="s">
        <v>101</v>
      </c>
      <c r="E331" s="9" t="s">
        <v>17</v>
      </c>
      <c r="F331" s="109">
        <f>SUM(Open[[#This Row],[PR 1]:[PR 3]])</f>
        <v>0</v>
      </c>
      <c r="G331" s="109">
        <f>LARGE(Open[[#This Row],[TS SH O 22.02.22]:[PR3]],1)</f>
        <v>0</v>
      </c>
      <c r="H331" s="109">
        <f>LARGE(Open[[#This Row],[TS SH O 22.02.22]:[PR3]],2)</f>
        <v>0</v>
      </c>
      <c r="I331" s="109">
        <f>LARGE(Open[[#This Row],[TS SH O 22.02.22]:[PR3]],3)</f>
        <v>0</v>
      </c>
      <c r="J331" s="9">
        <f>RANK(K331,$K$7:$K$361,0)</f>
        <v>205</v>
      </c>
      <c r="K331" s="109">
        <f>SUM(L331:W331)</f>
        <v>0</v>
      </c>
      <c r="L331" s="109" t="str">
        <f>IFERROR(VLOOKUP(Open[[#This Row],[TS SH 22.02.22 Rang]],$AJ$16:$AK$111,2,0)*L$5," ")</f>
        <v xml:space="preserve"> </v>
      </c>
      <c r="M331" s="109" t="str">
        <f>IFERROR(VLOOKUP(Open[[#This Row],[TS SH O 23.04.22 Rang]],$AJ$16:$AK$111,2,0)*M$5," ")</f>
        <v xml:space="preserve"> </v>
      </c>
      <c r="N331" s="109" t="str">
        <f>IFERROR(VLOOKUP(Open[[#This Row],[TS LA O 08.05.22 Rang]],$AJ$16:$AK$111,2,0)*N$5," ")</f>
        <v xml:space="preserve"> </v>
      </c>
      <c r="O331" s="109" t="str">
        <f>IFERROR(VLOOKUP(Open[[#This Row],[TS SG O 25.05.22 Rang]],$AJ$16:$AK$111,2,0)*O$5," ")</f>
        <v xml:space="preserve"> </v>
      </c>
      <c r="P331" s="109" t="str">
        <f>IFERROR(VLOOKUP(Open[[#This Row],[TS SH O 25.06.22 Rang]],$AJ$16:$AK$111,2,0)*P$5," ")</f>
        <v xml:space="preserve"> </v>
      </c>
      <c r="Q331" s="109" t="str">
        <f>IFERROR(VLOOKUP(Open[[#This Row],[TS ZH O/A 25.06.22 Rang]],$AJ$16:$AK$111,2,0)*Q$5," ")</f>
        <v xml:space="preserve"> </v>
      </c>
      <c r="R331" s="109" t="str">
        <f>IFERROR(VLOOKUP(Open[[#This Row],[TS ZH O/B 25.06.22 Rang]],$AJ$16:$AK$111,2,0)*R$5," ")</f>
        <v xml:space="preserve"> </v>
      </c>
      <c r="S331" s="109" t="str">
        <f>IFERROR(VLOOKUP(Open[[#This Row],[SM BE O/A 09.07.22 Rang]],$AJ$16:$AK$111,2,0)*S$5," ")</f>
        <v xml:space="preserve"> </v>
      </c>
      <c r="T331" s="109" t="str">
        <f>IFERROR(VLOOKUP(Open[[#This Row],[SM BE O/B 09.07.22 Rang]],$AJ$16:$AK$111,2,0)*T$5," ")</f>
        <v xml:space="preserve"> </v>
      </c>
      <c r="U331" s="11">
        <v>0</v>
      </c>
      <c r="V331" s="11">
        <v>0</v>
      </c>
      <c r="W331" s="11">
        <v>0</v>
      </c>
      <c r="X331" s="129"/>
      <c r="Y331" s="191"/>
      <c r="Z331" s="191"/>
      <c r="AA331" s="191"/>
      <c r="AB331" s="191"/>
      <c r="AC331" s="191"/>
      <c r="AD331" s="191"/>
      <c r="AE331" s="191"/>
      <c r="AF331" s="191"/>
    </row>
    <row r="332" spans="1:32" x14ac:dyDescent="0.2">
      <c r="A332" s="11">
        <v>173</v>
      </c>
      <c r="B332" s="11">
        <f>IF(Open[[#This Row],[PR Rang beim letzten Turnier]]&gt;Open[[#This Row],[PR Rang]],1,IF(Open[[#This Row],[PR Rang beim letzten Turnier]]=Open[[#This Row],[PR Rang]],0,-1))</f>
        <v>-1</v>
      </c>
      <c r="C332" s="147">
        <f>RANK(Open[[#This Row],[PR Punkte]],Open[PR Punkte],0)</f>
        <v>205</v>
      </c>
      <c r="D332" s="9" t="s">
        <v>213</v>
      </c>
      <c r="E332" s="9" t="s">
        <v>17</v>
      </c>
      <c r="F332" s="109">
        <f>SUM(Open[[#This Row],[PR 1]:[PR 3]])</f>
        <v>0</v>
      </c>
      <c r="G332" s="109">
        <f>LARGE(Open[[#This Row],[TS SH O 22.02.22]:[PR3]],1)</f>
        <v>0</v>
      </c>
      <c r="H332" s="109">
        <f>LARGE(Open[[#This Row],[TS SH O 22.02.22]:[PR3]],2)</f>
        <v>0</v>
      </c>
      <c r="I332" s="109">
        <f>LARGE(Open[[#This Row],[TS SH O 22.02.22]:[PR3]],3)</f>
        <v>0</v>
      </c>
      <c r="J332" s="9">
        <f>RANK(K332,$K$7:$K$361,0)</f>
        <v>205</v>
      </c>
      <c r="K332" s="109">
        <f>SUM(L332:W332)</f>
        <v>0</v>
      </c>
      <c r="L332" s="109" t="str">
        <f>IFERROR(VLOOKUP(Open[[#This Row],[TS SH 22.02.22 Rang]],$AJ$16:$AK$111,2,0)*L$5," ")</f>
        <v xml:space="preserve"> </v>
      </c>
      <c r="M332" s="109" t="str">
        <f>IFERROR(VLOOKUP(Open[[#This Row],[TS SH O 23.04.22 Rang]],$AJ$16:$AK$111,2,0)*M$5," ")</f>
        <v xml:space="preserve"> </v>
      </c>
      <c r="N332" s="109" t="str">
        <f>IFERROR(VLOOKUP(Open[[#This Row],[TS LA O 08.05.22 Rang]],$AJ$16:$AK$111,2,0)*N$5," ")</f>
        <v xml:space="preserve"> </v>
      </c>
      <c r="O332" s="109" t="str">
        <f>IFERROR(VLOOKUP(Open[[#This Row],[TS SG O 25.05.22 Rang]],$AJ$16:$AK$111,2,0)*O$5," ")</f>
        <v xml:space="preserve"> </v>
      </c>
      <c r="P332" s="109" t="str">
        <f>IFERROR(VLOOKUP(Open[[#This Row],[TS SH O 25.06.22 Rang]],$AJ$16:$AK$111,2,0)*P$5," ")</f>
        <v xml:space="preserve"> </v>
      </c>
      <c r="Q332" s="109" t="str">
        <f>IFERROR(VLOOKUP(Open[[#This Row],[TS ZH O/A 25.06.22 Rang]],$AJ$16:$AK$111,2,0)*Q$5," ")</f>
        <v xml:space="preserve"> </v>
      </c>
      <c r="R332" s="109" t="str">
        <f>IFERROR(VLOOKUP(Open[[#This Row],[TS ZH O/B 25.06.22 Rang]],$AJ$16:$AK$111,2,0)*R$5," ")</f>
        <v xml:space="preserve"> </v>
      </c>
      <c r="S332" s="109" t="str">
        <f>IFERROR(VLOOKUP(Open[[#This Row],[SM BE O/A 09.07.22 Rang]],$AJ$16:$AK$111,2,0)*S$5," ")</f>
        <v xml:space="preserve"> </v>
      </c>
      <c r="T332" s="109" t="str">
        <f>IFERROR(VLOOKUP(Open[[#This Row],[SM BE O/B 09.07.22 Rang]],$AJ$16:$AK$111,2,0)*T$5," ")</f>
        <v xml:space="preserve"> </v>
      </c>
      <c r="U332" s="11">
        <v>0</v>
      </c>
      <c r="V332" s="11">
        <v>0</v>
      </c>
      <c r="W332" s="11">
        <v>0</v>
      </c>
      <c r="X332" s="129"/>
      <c r="Y332" s="191"/>
      <c r="Z332" s="191"/>
      <c r="AA332" s="191"/>
      <c r="AB332" s="191"/>
      <c r="AC332" s="191"/>
      <c r="AD332" s="191"/>
      <c r="AE332" s="191"/>
      <c r="AF332" s="191"/>
    </row>
    <row r="333" spans="1:32" x14ac:dyDescent="0.2">
      <c r="A333" s="11">
        <v>173</v>
      </c>
      <c r="B333" s="11">
        <f>IF(Open[[#This Row],[PR Rang beim letzten Turnier]]&gt;Open[[#This Row],[PR Rang]],1,IF(Open[[#This Row],[PR Rang beim letzten Turnier]]=Open[[#This Row],[PR Rang]],0,-1))</f>
        <v>-1</v>
      </c>
      <c r="C333" s="147">
        <f>RANK(Open[[#This Row],[PR Punkte]],Open[PR Punkte],0)</f>
        <v>205</v>
      </c>
      <c r="D333" s="9" t="s">
        <v>218</v>
      </c>
      <c r="E333" s="9" t="s">
        <v>11</v>
      </c>
      <c r="F333" s="109">
        <f>SUM(Open[[#This Row],[PR 1]:[PR 3]])</f>
        <v>0</v>
      </c>
      <c r="G333" s="109">
        <f>LARGE(Open[[#This Row],[TS SH O 22.02.22]:[PR3]],1)</f>
        <v>0</v>
      </c>
      <c r="H333" s="109">
        <f>LARGE(Open[[#This Row],[TS SH O 22.02.22]:[PR3]],2)</f>
        <v>0</v>
      </c>
      <c r="I333" s="109">
        <f>LARGE(Open[[#This Row],[TS SH O 22.02.22]:[PR3]],3)</f>
        <v>0</v>
      </c>
      <c r="J333" s="9">
        <f>RANK(K333,$K$7:$K$361,0)</f>
        <v>205</v>
      </c>
      <c r="K333" s="109">
        <f>SUM(L333:W333)</f>
        <v>0</v>
      </c>
      <c r="L333" s="109" t="str">
        <f>IFERROR(VLOOKUP(Open[[#This Row],[TS SH 22.02.22 Rang]],$AJ$16:$AK$111,2,0)*L$5," ")</f>
        <v xml:space="preserve"> </v>
      </c>
      <c r="M333" s="109" t="str">
        <f>IFERROR(VLOOKUP(Open[[#This Row],[TS SH O 23.04.22 Rang]],$AJ$16:$AK$111,2,0)*M$5," ")</f>
        <v xml:space="preserve"> </v>
      </c>
      <c r="N333" s="109" t="str">
        <f>IFERROR(VLOOKUP(Open[[#This Row],[TS LA O 08.05.22 Rang]],$AJ$16:$AK$111,2,0)*N$5," ")</f>
        <v xml:space="preserve"> </v>
      </c>
      <c r="O333" s="109" t="str">
        <f>IFERROR(VLOOKUP(Open[[#This Row],[TS SG O 25.05.22 Rang]],$AJ$16:$AK$111,2,0)*O$5," ")</f>
        <v xml:space="preserve"> </v>
      </c>
      <c r="P333" s="109" t="str">
        <f>IFERROR(VLOOKUP(Open[[#This Row],[TS SH O 25.06.22 Rang]],$AJ$16:$AK$111,2,0)*P$5," ")</f>
        <v xml:space="preserve"> </v>
      </c>
      <c r="Q333" s="109" t="str">
        <f>IFERROR(VLOOKUP(Open[[#This Row],[TS ZH O/A 25.06.22 Rang]],$AJ$16:$AK$111,2,0)*Q$5," ")</f>
        <v xml:space="preserve"> </v>
      </c>
      <c r="R333" s="109" t="str">
        <f>IFERROR(VLOOKUP(Open[[#This Row],[TS ZH O/B 25.06.22 Rang]],$AJ$16:$AK$111,2,0)*R$5," ")</f>
        <v xml:space="preserve"> </v>
      </c>
      <c r="S333" s="109" t="str">
        <f>IFERROR(VLOOKUP(Open[[#This Row],[SM BE O/A 09.07.22 Rang]],$AJ$16:$AK$111,2,0)*S$5," ")</f>
        <v xml:space="preserve"> </v>
      </c>
      <c r="T333" s="109" t="str">
        <f>IFERROR(VLOOKUP(Open[[#This Row],[SM BE O/B 09.07.22 Rang]],$AJ$16:$AK$111,2,0)*T$5," ")</f>
        <v xml:space="preserve"> </v>
      </c>
      <c r="U333" s="11">
        <v>0</v>
      </c>
      <c r="V333" s="11">
        <v>0</v>
      </c>
      <c r="W333" s="11">
        <v>0</v>
      </c>
      <c r="X333" s="129"/>
      <c r="Y333" s="191"/>
      <c r="Z333" s="191"/>
      <c r="AA333" s="191"/>
      <c r="AB333" s="191"/>
      <c r="AC333" s="191"/>
      <c r="AD333" s="191"/>
      <c r="AE333" s="191"/>
      <c r="AF333" s="191"/>
    </row>
    <row r="334" spans="1:32" x14ac:dyDescent="0.2">
      <c r="A334" s="11">
        <v>173</v>
      </c>
      <c r="B334" s="11">
        <f>IF(Open[[#This Row],[PR Rang beim letzten Turnier]]&gt;Open[[#This Row],[PR Rang]],1,IF(Open[[#This Row],[PR Rang beim letzten Turnier]]=Open[[#This Row],[PR Rang]],0,-1))</f>
        <v>-1</v>
      </c>
      <c r="C334" s="147">
        <f>RANK(Open[[#This Row],[PR Punkte]],Open[PR Punkte],0)</f>
        <v>205</v>
      </c>
      <c r="D334" s="9" t="s">
        <v>216</v>
      </c>
      <c r="E334" s="9" t="s">
        <v>11</v>
      </c>
      <c r="F334" s="109">
        <f>SUM(Open[[#This Row],[PR 1]:[PR 3]])</f>
        <v>0</v>
      </c>
      <c r="G334" s="109">
        <f>LARGE(Open[[#This Row],[TS SH O 22.02.22]:[PR3]],1)</f>
        <v>0</v>
      </c>
      <c r="H334" s="109">
        <f>LARGE(Open[[#This Row],[TS SH O 22.02.22]:[PR3]],2)</f>
        <v>0</v>
      </c>
      <c r="I334" s="109">
        <f>LARGE(Open[[#This Row],[TS SH O 22.02.22]:[PR3]],3)</f>
        <v>0</v>
      </c>
      <c r="J334" s="9">
        <f>RANK(K334,$K$7:$K$361,0)</f>
        <v>205</v>
      </c>
      <c r="K334" s="109">
        <f>SUM(L334:W334)</f>
        <v>0</v>
      </c>
      <c r="L334" s="109" t="str">
        <f>IFERROR(VLOOKUP(Open[[#This Row],[TS SH 22.02.22 Rang]],$AJ$16:$AK$111,2,0)*L$5," ")</f>
        <v xml:space="preserve"> </v>
      </c>
      <c r="M334" s="109" t="str">
        <f>IFERROR(VLOOKUP(Open[[#This Row],[TS SH O 23.04.22 Rang]],$AJ$16:$AK$111,2,0)*M$5," ")</f>
        <v xml:space="preserve"> </v>
      </c>
      <c r="N334" s="109" t="str">
        <f>IFERROR(VLOOKUP(Open[[#This Row],[TS LA O 08.05.22 Rang]],$AJ$16:$AK$111,2,0)*N$5," ")</f>
        <v xml:space="preserve"> </v>
      </c>
      <c r="O334" s="109" t="str">
        <f>IFERROR(VLOOKUP(Open[[#This Row],[TS SG O 25.05.22 Rang]],$AJ$16:$AK$111,2,0)*O$5," ")</f>
        <v xml:space="preserve"> </v>
      </c>
      <c r="P334" s="109" t="str">
        <f>IFERROR(VLOOKUP(Open[[#This Row],[TS SH O 25.06.22 Rang]],$AJ$16:$AK$111,2,0)*P$5," ")</f>
        <v xml:space="preserve"> </v>
      </c>
      <c r="Q334" s="109" t="str">
        <f>IFERROR(VLOOKUP(Open[[#This Row],[TS ZH O/A 25.06.22 Rang]],$AJ$16:$AK$111,2,0)*Q$5," ")</f>
        <v xml:space="preserve"> </v>
      </c>
      <c r="R334" s="109" t="str">
        <f>IFERROR(VLOOKUP(Open[[#This Row],[TS ZH O/B 25.06.22 Rang]],$AJ$16:$AK$111,2,0)*R$5," ")</f>
        <v xml:space="preserve"> </v>
      </c>
      <c r="S334" s="109" t="str">
        <f>IFERROR(VLOOKUP(Open[[#This Row],[SM BE O/A 09.07.22 Rang]],$AJ$16:$AK$111,2,0)*S$5," ")</f>
        <v xml:space="preserve"> </v>
      </c>
      <c r="T334" s="109" t="str">
        <f>IFERROR(VLOOKUP(Open[[#This Row],[SM BE O/B 09.07.22 Rang]],$AJ$16:$AK$111,2,0)*T$5," ")</f>
        <v xml:space="preserve"> </v>
      </c>
      <c r="U334" s="11">
        <v>0</v>
      </c>
      <c r="V334" s="11">
        <v>0</v>
      </c>
      <c r="W334" s="11">
        <v>0</v>
      </c>
      <c r="X334" s="129"/>
      <c r="Y334" s="191"/>
      <c r="Z334" s="191"/>
      <c r="AA334" s="191"/>
      <c r="AB334" s="191"/>
      <c r="AC334" s="191"/>
      <c r="AD334" s="191"/>
      <c r="AE334" s="191"/>
      <c r="AF334" s="191"/>
    </row>
    <row r="335" spans="1:32" x14ac:dyDescent="0.2">
      <c r="A335" s="11">
        <v>173</v>
      </c>
      <c r="B335" s="11">
        <f>IF(Open[[#This Row],[PR Rang beim letzten Turnier]]&gt;Open[[#This Row],[PR Rang]],1,IF(Open[[#This Row],[PR Rang beim letzten Turnier]]=Open[[#This Row],[PR Rang]],0,-1))</f>
        <v>-1</v>
      </c>
      <c r="C335" s="147">
        <f>RANK(Open[[#This Row],[PR Punkte]],Open[PR Punkte],0)</f>
        <v>205</v>
      </c>
      <c r="D335" s="9" t="s">
        <v>212</v>
      </c>
      <c r="E335" s="9" t="s">
        <v>11</v>
      </c>
      <c r="F335" s="109">
        <f>SUM(Open[[#This Row],[PR 1]:[PR 3]])</f>
        <v>0</v>
      </c>
      <c r="G335" s="109">
        <f>LARGE(Open[[#This Row],[TS SH O 22.02.22]:[PR3]],1)</f>
        <v>0</v>
      </c>
      <c r="H335" s="109">
        <f>LARGE(Open[[#This Row],[TS SH O 22.02.22]:[PR3]],2)</f>
        <v>0</v>
      </c>
      <c r="I335" s="109">
        <f>LARGE(Open[[#This Row],[TS SH O 22.02.22]:[PR3]],3)</f>
        <v>0</v>
      </c>
      <c r="J335" s="9">
        <f>RANK(K335,$K$7:$K$361,0)</f>
        <v>205</v>
      </c>
      <c r="K335" s="109">
        <f>SUM(L335:W335)</f>
        <v>0</v>
      </c>
      <c r="L335" s="109" t="str">
        <f>IFERROR(VLOOKUP(Open[[#This Row],[TS SH 22.02.22 Rang]],$AJ$16:$AK$111,2,0)*L$5," ")</f>
        <v xml:space="preserve"> </v>
      </c>
      <c r="M335" s="109" t="str">
        <f>IFERROR(VLOOKUP(Open[[#This Row],[TS SH O 23.04.22 Rang]],$AJ$16:$AK$111,2,0)*M$5," ")</f>
        <v xml:space="preserve"> </v>
      </c>
      <c r="N335" s="109" t="str">
        <f>IFERROR(VLOOKUP(Open[[#This Row],[TS LA O 08.05.22 Rang]],$AJ$16:$AK$111,2,0)*N$5," ")</f>
        <v xml:space="preserve"> </v>
      </c>
      <c r="O335" s="109" t="str">
        <f>IFERROR(VLOOKUP(Open[[#This Row],[TS SG O 25.05.22 Rang]],$AJ$16:$AK$111,2,0)*O$5," ")</f>
        <v xml:space="preserve"> </v>
      </c>
      <c r="P335" s="109" t="str">
        <f>IFERROR(VLOOKUP(Open[[#This Row],[TS SH O 25.06.22 Rang]],$AJ$16:$AK$111,2,0)*P$5," ")</f>
        <v xml:space="preserve"> </v>
      </c>
      <c r="Q335" s="109" t="str">
        <f>IFERROR(VLOOKUP(Open[[#This Row],[TS ZH O/A 25.06.22 Rang]],$AJ$16:$AK$111,2,0)*Q$5," ")</f>
        <v xml:space="preserve"> </v>
      </c>
      <c r="R335" s="109" t="str">
        <f>IFERROR(VLOOKUP(Open[[#This Row],[TS ZH O/B 25.06.22 Rang]],$AJ$16:$AK$111,2,0)*R$5," ")</f>
        <v xml:space="preserve"> </v>
      </c>
      <c r="S335" s="109" t="str">
        <f>IFERROR(VLOOKUP(Open[[#This Row],[SM BE O/A 09.07.22 Rang]],$AJ$16:$AK$111,2,0)*S$5," ")</f>
        <v xml:space="preserve"> </v>
      </c>
      <c r="T335" s="109" t="str">
        <f>IFERROR(VLOOKUP(Open[[#This Row],[SM BE O/B 09.07.22 Rang]],$AJ$16:$AK$111,2,0)*T$5," ")</f>
        <v xml:space="preserve"> </v>
      </c>
      <c r="U335" s="11">
        <v>0</v>
      </c>
      <c r="V335" s="11">
        <v>0</v>
      </c>
      <c r="W335" s="11">
        <v>0</v>
      </c>
      <c r="X335" s="129"/>
      <c r="Y335" s="191"/>
      <c r="Z335" s="191"/>
      <c r="AA335" s="191"/>
      <c r="AB335" s="191"/>
      <c r="AC335" s="191"/>
      <c r="AD335" s="191"/>
      <c r="AE335" s="191"/>
      <c r="AF335" s="191"/>
    </row>
    <row r="336" spans="1:32" x14ac:dyDescent="0.2">
      <c r="A336" s="11">
        <v>173</v>
      </c>
      <c r="B336" s="11">
        <f>IF(Open[[#This Row],[PR Rang beim letzten Turnier]]&gt;Open[[#This Row],[PR Rang]],1,IF(Open[[#This Row],[PR Rang beim letzten Turnier]]=Open[[#This Row],[PR Rang]],0,-1))</f>
        <v>-1</v>
      </c>
      <c r="C336" s="147">
        <f>RANK(Open[[#This Row],[PR Punkte]],Open[PR Punkte],0)</f>
        <v>205</v>
      </c>
      <c r="D336" s="9" t="s">
        <v>211</v>
      </c>
      <c r="E336" s="9" t="s">
        <v>11</v>
      </c>
      <c r="F336" s="109">
        <f>SUM(Open[[#This Row],[PR 1]:[PR 3]])</f>
        <v>0</v>
      </c>
      <c r="G336" s="109">
        <f>LARGE(Open[[#This Row],[TS SH O 22.02.22]:[PR3]],1)</f>
        <v>0</v>
      </c>
      <c r="H336" s="109">
        <f>LARGE(Open[[#This Row],[TS SH O 22.02.22]:[PR3]],2)</f>
        <v>0</v>
      </c>
      <c r="I336" s="109">
        <f>LARGE(Open[[#This Row],[TS SH O 22.02.22]:[PR3]],3)</f>
        <v>0</v>
      </c>
      <c r="J336" s="9">
        <f>RANK(K336,$K$7:$K$361,0)</f>
        <v>205</v>
      </c>
      <c r="K336" s="109">
        <f>SUM(L336:W336)</f>
        <v>0</v>
      </c>
      <c r="L336" s="109" t="str">
        <f>IFERROR(VLOOKUP(Open[[#This Row],[TS SH 22.02.22 Rang]],$AJ$16:$AK$111,2,0)*L$5," ")</f>
        <v xml:space="preserve"> </v>
      </c>
      <c r="M336" s="109" t="str">
        <f>IFERROR(VLOOKUP(Open[[#This Row],[TS SH O 23.04.22 Rang]],$AJ$16:$AK$111,2,0)*M$5," ")</f>
        <v xml:space="preserve"> </v>
      </c>
      <c r="N336" s="109" t="str">
        <f>IFERROR(VLOOKUP(Open[[#This Row],[TS LA O 08.05.22 Rang]],$AJ$16:$AK$111,2,0)*N$5," ")</f>
        <v xml:space="preserve"> </v>
      </c>
      <c r="O336" s="109" t="str">
        <f>IFERROR(VLOOKUP(Open[[#This Row],[TS SG O 25.05.22 Rang]],$AJ$16:$AK$111,2,0)*O$5," ")</f>
        <v xml:space="preserve"> </v>
      </c>
      <c r="P336" s="109" t="str">
        <f>IFERROR(VLOOKUP(Open[[#This Row],[TS SH O 25.06.22 Rang]],$AJ$16:$AK$111,2,0)*P$5," ")</f>
        <v xml:space="preserve"> </v>
      </c>
      <c r="Q336" s="109" t="str">
        <f>IFERROR(VLOOKUP(Open[[#This Row],[TS ZH O/A 25.06.22 Rang]],$AJ$16:$AK$111,2,0)*Q$5," ")</f>
        <v xml:space="preserve"> </v>
      </c>
      <c r="R336" s="109" t="str">
        <f>IFERROR(VLOOKUP(Open[[#This Row],[TS ZH O/B 25.06.22 Rang]],$AJ$16:$AK$111,2,0)*R$5," ")</f>
        <v xml:space="preserve"> </v>
      </c>
      <c r="S336" s="109" t="str">
        <f>IFERROR(VLOOKUP(Open[[#This Row],[SM BE O/A 09.07.22 Rang]],$AJ$16:$AK$111,2,0)*S$5," ")</f>
        <v xml:space="preserve"> </v>
      </c>
      <c r="T336" s="109" t="str">
        <f>IFERROR(VLOOKUP(Open[[#This Row],[SM BE O/B 09.07.22 Rang]],$AJ$16:$AK$111,2,0)*T$5," ")</f>
        <v xml:space="preserve"> </v>
      </c>
      <c r="U336" s="11">
        <v>0</v>
      </c>
      <c r="V336" s="11">
        <v>0</v>
      </c>
      <c r="W336" s="11">
        <v>0</v>
      </c>
      <c r="X336" s="129"/>
      <c r="Y336" s="191"/>
      <c r="Z336" s="191"/>
      <c r="AA336" s="191"/>
      <c r="AB336" s="191"/>
      <c r="AC336" s="191"/>
      <c r="AD336" s="191"/>
      <c r="AE336" s="191"/>
      <c r="AF336" s="191"/>
    </row>
    <row r="337" spans="1:32" x14ac:dyDescent="0.2">
      <c r="A337" s="11">
        <v>173</v>
      </c>
      <c r="B337" s="11">
        <f>IF(Open[[#This Row],[PR Rang beim letzten Turnier]]&gt;Open[[#This Row],[PR Rang]],1,IF(Open[[#This Row],[PR Rang beim letzten Turnier]]=Open[[#This Row],[PR Rang]],0,-1))</f>
        <v>-1</v>
      </c>
      <c r="C337" s="147">
        <f>RANK(Open[[#This Row],[PR Punkte]],Open[PR Punkte],0)</f>
        <v>205</v>
      </c>
      <c r="D337" s="9" t="s">
        <v>217</v>
      </c>
      <c r="E337" s="9" t="s">
        <v>11</v>
      </c>
      <c r="F337" s="109">
        <f>SUM(Open[[#This Row],[PR 1]:[PR 3]])</f>
        <v>0</v>
      </c>
      <c r="G337" s="109">
        <f>LARGE(Open[[#This Row],[TS SH O 22.02.22]:[PR3]],1)</f>
        <v>0</v>
      </c>
      <c r="H337" s="109">
        <f>LARGE(Open[[#This Row],[TS SH O 22.02.22]:[PR3]],2)</f>
        <v>0</v>
      </c>
      <c r="I337" s="109">
        <f>LARGE(Open[[#This Row],[TS SH O 22.02.22]:[PR3]],3)</f>
        <v>0</v>
      </c>
      <c r="J337" s="9">
        <f>RANK(K337,$K$7:$K$361,0)</f>
        <v>205</v>
      </c>
      <c r="K337" s="109">
        <f>SUM(L337:W337)</f>
        <v>0</v>
      </c>
      <c r="L337" s="109" t="str">
        <f>IFERROR(VLOOKUP(Open[[#This Row],[TS SH 22.02.22 Rang]],$AJ$16:$AK$111,2,0)*L$5," ")</f>
        <v xml:space="preserve"> </v>
      </c>
      <c r="M337" s="109" t="str">
        <f>IFERROR(VLOOKUP(Open[[#This Row],[TS SH O 23.04.22 Rang]],$AJ$16:$AK$111,2,0)*M$5," ")</f>
        <v xml:space="preserve"> </v>
      </c>
      <c r="N337" s="109" t="str">
        <f>IFERROR(VLOOKUP(Open[[#This Row],[TS LA O 08.05.22 Rang]],$AJ$16:$AK$111,2,0)*N$5," ")</f>
        <v xml:space="preserve"> </v>
      </c>
      <c r="O337" s="109" t="str">
        <f>IFERROR(VLOOKUP(Open[[#This Row],[TS SG O 25.05.22 Rang]],$AJ$16:$AK$111,2,0)*O$5," ")</f>
        <v xml:space="preserve"> </v>
      </c>
      <c r="P337" s="109" t="str">
        <f>IFERROR(VLOOKUP(Open[[#This Row],[TS SH O 25.06.22 Rang]],$AJ$16:$AK$111,2,0)*P$5," ")</f>
        <v xml:space="preserve"> </v>
      </c>
      <c r="Q337" s="109" t="str">
        <f>IFERROR(VLOOKUP(Open[[#This Row],[TS ZH O/A 25.06.22 Rang]],$AJ$16:$AK$111,2,0)*Q$5," ")</f>
        <v xml:space="preserve"> </v>
      </c>
      <c r="R337" s="109" t="str">
        <f>IFERROR(VLOOKUP(Open[[#This Row],[TS ZH O/B 25.06.22 Rang]],$AJ$16:$AK$111,2,0)*R$5," ")</f>
        <v xml:space="preserve"> </v>
      </c>
      <c r="S337" s="109" t="str">
        <f>IFERROR(VLOOKUP(Open[[#This Row],[SM BE O/A 09.07.22 Rang]],$AJ$16:$AK$111,2,0)*S$5," ")</f>
        <v xml:space="preserve"> </v>
      </c>
      <c r="T337" s="109" t="str">
        <f>IFERROR(VLOOKUP(Open[[#This Row],[SM BE O/B 09.07.22 Rang]],$AJ$16:$AK$111,2,0)*T$5," ")</f>
        <v xml:space="preserve"> </v>
      </c>
      <c r="U337" s="11">
        <v>0</v>
      </c>
      <c r="V337" s="11">
        <v>0</v>
      </c>
      <c r="W337" s="11">
        <v>0</v>
      </c>
      <c r="X337" s="129"/>
      <c r="Y337" s="191"/>
      <c r="Z337" s="191"/>
      <c r="AA337" s="191"/>
      <c r="AB337" s="191"/>
      <c r="AC337" s="191"/>
      <c r="AD337" s="191"/>
      <c r="AE337" s="191"/>
      <c r="AF337" s="191"/>
    </row>
    <row r="338" spans="1:32" x14ac:dyDescent="0.2">
      <c r="A338" s="11">
        <v>173</v>
      </c>
      <c r="B338" s="11">
        <f>IF(Open[[#This Row],[PR Rang beim letzten Turnier]]&gt;Open[[#This Row],[PR Rang]],1,IF(Open[[#This Row],[PR Rang beim letzten Turnier]]=Open[[#This Row],[PR Rang]],0,-1))</f>
        <v>-1</v>
      </c>
      <c r="C338" s="147">
        <f>RANK(Open[[#This Row],[PR Punkte]],Open[PR Punkte],0)</f>
        <v>205</v>
      </c>
      <c r="D338" s="9" t="s">
        <v>214</v>
      </c>
      <c r="E338" s="9" t="s">
        <v>17</v>
      </c>
      <c r="F338" s="109">
        <f>SUM(Open[[#This Row],[PR 1]:[PR 3]])</f>
        <v>0</v>
      </c>
      <c r="G338" s="109">
        <f>LARGE(Open[[#This Row],[TS SH O 22.02.22]:[PR3]],1)</f>
        <v>0</v>
      </c>
      <c r="H338" s="109">
        <f>LARGE(Open[[#This Row],[TS SH O 22.02.22]:[PR3]],2)</f>
        <v>0</v>
      </c>
      <c r="I338" s="109">
        <f>LARGE(Open[[#This Row],[TS SH O 22.02.22]:[PR3]],3)</f>
        <v>0</v>
      </c>
      <c r="J338" s="9">
        <f>RANK(K338,$K$7:$K$361,0)</f>
        <v>205</v>
      </c>
      <c r="K338" s="109">
        <f>SUM(L338:W338)</f>
        <v>0</v>
      </c>
      <c r="L338" s="109" t="str">
        <f>IFERROR(VLOOKUP(Open[[#This Row],[TS SH 22.02.22 Rang]],$AJ$16:$AK$111,2,0)*L$5," ")</f>
        <v xml:space="preserve"> </v>
      </c>
      <c r="M338" s="109" t="str">
        <f>IFERROR(VLOOKUP(Open[[#This Row],[TS SH O 23.04.22 Rang]],$AJ$16:$AK$111,2,0)*M$5," ")</f>
        <v xml:space="preserve"> </v>
      </c>
      <c r="N338" s="109" t="str">
        <f>IFERROR(VLOOKUP(Open[[#This Row],[TS LA O 08.05.22 Rang]],$AJ$16:$AK$111,2,0)*N$5," ")</f>
        <v xml:space="preserve"> </v>
      </c>
      <c r="O338" s="109" t="str">
        <f>IFERROR(VLOOKUP(Open[[#This Row],[TS SG O 25.05.22 Rang]],$AJ$16:$AK$111,2,0)*O$5," ")</f>
        <v xml:space="preserve"> </v>
      </c>
      <c r="P338" s="109" t="str">
        <f>IFERROR(VLOOKUP(Open[[#This Row],[TS SH O 25.06.22 Rang]],$AJ$16:$AK$111,2,0)*P$5," ")</f>
        <v xml:space="preserve"> </v>
      </c>
      <c r="Q338" s="109" t="str">
        <f>IFERROR(VLOOKUP(Open[[#This Row],[TS ZH O/A 25.06.22 Rang]],$AJ$16:$AK$111,2,0)*Q$5," ")</f>
        <v xml:space="preserve"> </v>
      </c>
      <c r="R338" s="109" t="str">
        <f>IFERROR(VLOOKUP(Open[[#This Row],[TS ZH O/B 25.06.22 Rang]],$AJ$16:$AK$111,2,0)*R$5," ")</f>
        <v xml:space="preserve"> </v>
      </c>
      <c r="S338" s="109" t="str">
        <f>IFERROR(VLOOKUP(Open[[#This Row],[SM BE O/A 09.07.22 Rang]],$AJ$16:$AK$111,2,0)*S$5," ")</f>
        <v xml:space="preserve"> </v>
      </c>
      <c r="T338" s="109" t="str">
        <f>IFERROR(VLOOKUP(Open[[#This Row],[SM BE O/B 09.07.22 Rang]],$AJ$16:$AK$111,2,0)*T$5," ")</f>
        <v xml:space="preserve"> </v>
      </c>
      <c r="U338" s="11">
        <v>0</v>
      </c>
      <c r="V338" s="11">
        <v>0</v>
      </c>
      <c r="W338" s="11">
        <v>0</v>
      </c>
      <c r="X338" s="129"/>
      <c r="Y338" s="191"/>
      <c r="Z338" s="191"/>
      <c r="AA338" s="191"/>
      <c r="AB338" s="191"/>
      <c r="AC338" s="191"/>
      <c r="AD338" s="191"/>
      <c r="AE338" s="191"/>
      <c r="AF338" s="191"/>
    </row>
    <row r="339" spans="1:32" x14ac:dyDescent="0.2">
      <c r="A339" s="11">
        <v>173</v>
      </c>
      <c r="B339" s="11">
        <f>IF(Open[[#This Row],[PR Rang beim letzten Turnier]]&gt;Open[[#This Row],[PR Rang]],1,IF(Open[[#This Row],[PR Rang beim letzten Turnier]]=Open[[#This Row],[PR Rang]],0,-1))</f>
        <v>-1</v>
      </c>
      <c r="C339" s="147">
        <f>RANK(Open[[#This Row],[PR Punkte]],Open[PR Punkte],0)</f>
        <v>205</v>
      </c>
      <c r="D339" s="9" t="s">
        <v>215</v>
      </c>
      <c r="E339" s="9" t="s">
        <v>11</v>
      </c>
      <c r="F339" s="109">
        <f>SUM(Open[[#This Row],[PR 1]:[PR 3]])</f>
        <v>0</v>
      </c>
      <c r="G339" s="109">
        <f>LARGE(Open[[#This Row],[TS SH O 22.02.22]:[PR3]],1)</f>
        <v>0</v>
      </c>
      <c r="H339" s="109">
        <f>LARGE(Open[[#This Row],[TS SH O 22.02.22]:[PR3]],2)</f>
        <v>0</v>
      </c>
      <c r="I339" s="109">
        <f>LARGE(Open[[#This Row],[TS SH O 22.02.22]:[PR3]],3)</f>
        <v>0</v>
      </c>
      <c r="J339" s="9">
        <f>RANK(K339,$K$7:$K$361,0)</f>
        <v>205</v>
      </c>
      <c r="K339" s="109">
        <f>SUM(L339:W339)</f>
        <v>0</v>
      </c>
      <c r="L339" s="109" t="str">
        <f>IFERROR(VLOOKUP(Open[[#This Row],[TS SH 22.02.22 Rang]],$AJ$16:$AK$111,2,0)*L$5," ")</f>
        <v xml:space="preserve"> </v>
      </c>
      <c r="M339" s="109" t="str">
        <f>IFERROR(VLOOKUP(Open[[#This Row],[TS SH O 23.04.22 Rang]],$AJ$16:$AK$111,2,0)*M$5," ")</f>
        <v xml:space="preserve"> </v>
      </c>
      <c r="N339" s="109" t="str">
        <f>IFERROR(VLOOKUP(Open[[#This Row],[TS LA O 08.05.22 Rang]],$AJ$16:$AK$111,2,0)*N$5," ")</f>
        <v xml:space="preserve"> </v>
      </c>
      <c r="O339" s="109" t="str">
        <f>IFERROR(VLOOKUP(Open[[#This Row],[TS SG O 25.05.22 Rang]],$AJ$16:$AK$111,2,0)*O$5," ")</f>
        <v xml:space="preserve"> </v>
      </c>
      <c r="P339" s="109" t="str">
        <f>IFERROR(VLOOKUP(Open[[#This Row],[TS SH O 25.06.22 Rang]],$AJ$16:$AK$111,2,0)*P$5," ")</f>
        <v xml:space="preserve"> </v>
      </c>
      <c r="Q339" s="109" t="str">
        <f>IFERROR(VLOOKUP(Open[[#This Row],[TS ZH O/A 25.06.22 Rang]],$AJ$16:$AK$111,2,0)*Q$5," ")</f>
        <v xml:space="preserve"> </v>
      </c>
      <c r="R339" s="109" t="str">
        <f>IFERROR(VLOOKUP(Open[[#This Row],[TS ZH O/B 25.06.22 Rang]],$AJ$16:$AK$111,2,0)*R$5," ")</f>
        <v xml:space="preserve"> </v>
      </c>
      <c r="S339" s="109" t="str">
        <f>IFERROR(VLOOKUP(Open[[#This Row],[SM BE O/A 09.07.22 Rang]],$AJ$16:$AK$111,2,0)*S$5," ")</f>
        <v xml:space="preserve"> </v>
      </c>
      <c r="T339" s="109" t="str">
        <f>IFERROR(VLOOKUP(Open[[#This Row],[SM BE O/B 09.07.22 Rang]],$AJ$16:$AK$111,2,0)*T$5," ")</f>
        <v xml:space="preserve"> </v>
      </c>
      <c r="U339" s="11">
        <v>0</v>
      </c>
      <c r="V339" s="11">
        <v>0</v>
      </c>
      <c r="W339" s="11">
        <v>0</v>
      </c>
      <c r="X339" s="129"/>
      <c r="Y339" s="191"/>
      <c r="Z339" s="191"/>
      <c r="AA339" s="191"/>
      <c r="AB339" s="191"/>
      <c r="AC339" s="191"/>
      <c r="AD339" s="191"/>
      <c r="AE339" s="191"/>
      <c r="AF339" s="191"/>
    </row>
    <row r="340" spans="1:32" x14ac:dyDescent="0.2">
      <c r="A340" s="11">
        <v>173</v>
      </c>
      <c r="B340" s="11">
        <f>IF(Open[[#This Row],[PR Rang beim letzten Turnier]]&gt;Open[[#This Row],[PR Rang]],1,IF(Open[[#This Row],[PR Rang beim letzten Turnier]]=Open[[#This Row],[PR Rang]],0,-1))</f>
        <v>-1</v>
      </c>
      <c r="C340" s="147">
        <f>RANK(Open[[#This Row],[PR Punkte]],Open[PR Punkte],0)</f>
        <v>205</v>
      </c>
      <c r="D340" s="31" t="s">
        <v>68</v>
      </c>
      <c r="E340" s="9" t="s">
        <v>11</v>
      </c>
      <c r="F340" s="109">
        <f>SUM(Open[[#This Row],[PR 1]:[PR 3]])</f>
        <v>0</v>
      </c>
      <c r="G340" s="109">
        <f>LARGE(Open[[#This Row],[TS SH O 22.02.22]:[PR3]],1)</f>
        <v>0</v>
      </c>
      <c r="H340" s="109">
        <f>LARGE(Open[[#This Row],[TS SH O 22.02.22]:[PR3]],2)</f>
        <v>0</v>
      </c>
      <c r="I340" s="109">
        <f>LARGE(Open[[#This Row],[TS SH O 22.02.22]:[PR3]],3)</f>
        <v>0</v>
      </c>
      <c r="J340" s="9">
        <f>RANK(K340,$K$7:$K$361,0)</f>
        <v>205</v>
      </c>
      <c r="K340" s="109">
        <f>SUM(L340:W340)</f>
        <v>0</v>
      </c>
      <c r="L340" s="109" t="str">
        <f>IFERROR(VLOOKUP(Open[[#This Row],[TS SH 22.02.22 Rang]],$AJ$16:$AK$111,2,0)*L$5," ")</f>
        <v xml:space="preserve"> </v>
      </c>
      <c r="M340" s="109" t="str">
        <f>IFERROR(VLOOKUP(Open[[#This Row],[TS SH O 23.04.22 Rang]],$AJ$16:$AK$111,2,0)*M$5," ")</f>
        <v xml:space="preserve"> </v>
      </c>
      <c r="N340" s="109" t="str">
        <f>IFERROR(VLOOKUP(Open[[#This Row],[TS LA O 08.05.22 Rang]],$AJ$16:$AK$111,2,0)*N$5," ")</f>
        <v xml:space="preserve"> </v>
      </c>
      <c r="O340" s="109" t="str">
        <f>IFERROR(VLOOKUP(Open[[#This Row],[TS SG O 25.05.22 Rang]],$AJ$16:$AK$111,2,0)*O$5," ")</f>
        <v xml:space="preserve"> </v>
      </c>
      <c r="P340" s="109" t="str">
        <f>IFERROR(VLOOKUP(Open[[#This Row],[TS SH O 25.06.22 Rang]],$AJ$16:$AK$111,2,0)*P$5," ")</f>
        <v xml:space="preserve"> </v>
      </c>
      <c r="Q340" s="109" t="str">
        <f>IFERROR(VLOOKUP(Open[[#This Row],[TS ZH O/A 25.06.22 Rang]],$AJ$16:$AK$111,2,0)*Q$5," ")</f>
        <v xml:space="preserve"> </v>
      </c>
      <c r="R340" s="109" t="str">
        <f>IFERROR(VLOOKUP(Open[[#This Row],[TS ZH O/B 25.06.22 Rang]],$AJ$16:$AK$111,2,0)*R$5," ")</f>
        <v xml:space="preserve"> </v>
      </c>
      <c r="S340" s="109" t="str">
        <f>IFERROR(VLOOKUP(Open[[#This Row],[SM BE O/A 09.07.22 Rang]],$AJ$16:$AK$111,2,0)*S$5," ")</f>
        <v xml:space="preserve"> </v>
      </c>
      <c r="T340" s="109" t="str">
        <f>IFERROR(VLOOKUP(Open[[#This Row],[SM BE O/B 09.07.22 Rang]],$AJ$16:$AK$111,2,0)*T$5," ")</f>
        <v xml:space="preserve"> </v>
      </c>
      <c r="U340" s="11">
        <v>0</v>
      </c>
      <c r="V340" s="11">
        <v>0</v>
      </c>
      <c r="W340" s="11">
        <v>0</v>
      </c>
      <c r="X340" s="129"/>
      <c r="Y340" s="191"/>
      <c r="Z340" s="191"/>
      <c r="AA340" s="191"/>
      <c r="AB340" s="191"/>
      <c r="AC340" s="191"/>
      <c r="AD340" s="191"/>
      <c r="AE340" s="191"/>
      <c r="AF340" s="191"/>
    </row>
    <row r="341" spans="1:32" x14ac:dyDescent="0.2">
      <c r="A341" s="11">
        <v>173</v>
      </c>
      <c r="B341" s="11">
        <f>IF(Open[[#This Row],[PR Rang beim letzten Turnier]]&gt;Open[[#This Row],[PR Rang]],1,IF(Open[[#This Row],[PR Rang beim letzten Turnier]]=Open[[#This Row],[PR Rang]],0,-1))</f>
        <v>-1</v>
      </c>
      <c r="C341" s="147">
        <f>RANK(Open[[#This Row],[PR Punkte]],Open[PR Punkte],0)</f>
        <v>205</v>
      </c>
      <c r="D341" s="31" t="s">
        <v>75</v>
      </c>
      <c r="E341" s="9" t="s">
        <v>11</v>
      </c>
      <c r="F341" s="109">
        <f>SUM(Open[[#This Row],[PR 1]:[PR 3]])</f>
        <v>0</v>
      </c>
      <c r="G341" s="109">
        <f>LARGE(Open[[#This Row],[TS SH O 22.02.22]:[PR3]],1)</f>
        <v>0</v>
      </c>
      <c r="H341" s="109">
        <f>LARGE(Open[[#This Row],[TS SH O 22.02.22]:[PR3]],2)</f>
        <v>0</v>
      </c>
      <c r="I341" s="109">
        <f>LARGE(Open[[#This Row],[TS SH O 22.02.22]:[PR3]],3)</f>
        <v>0</v>
      </c>
      <c r="J341" s="9">
        <f>RANK(K341,$K$7:$K$361,0)</f>
        <v>205</v>
      </c>
      <c r="K341" s="109">
        <f>SUM(L341:W341)</f>
        <v>0</v>
      </c>
      <c r="L341" s="109" t="str">
        <f>IFERROR(VLOOKUP(Open[[#This Row],[TS SH 22.02.22 Rang]],$AJ$16:$AK$111,2,0)*L$5," ")</f>
        <v xml:space="preserve"> </v>
      </c>
      <c r="M341" s="109" t="str">
        <f>IFERROR(VLOOKUP(Open[[#This Row],[TS SH O 23.04.22 Rang]],$AJ$16:$AK$111,2,0)*M$5," ")</f>
        <v xml:space="preserve"> </v>
      </c>
      <c r="N341" s="109" t="str">
        <f>IFERROR(VLOOKUP(Open[[#This Row],[TS LA O 08.05.22 Rang]],$AJ$16:$AK$111,2,0)*N$5," ")</f>
        <v xml:space="preserve"> </v>
      </c>
      <c r="O341" s="109" t="str">
        <f>IFERROR(VLOOKUP(Open[[#This Row],[TS SG O 25.05.22 Rang]],$AJ$16:$AK$111,2,0)*O$5," ")</f>
        <v xml:space="preserve"> </v>
      </c>
      <c r="P341" s="109" t="str">
        <f>IFERROR(VLOOKUP(Open[[#This Row],[TS SH O 25.06.22 Rang]],$AJ$16:$AK$111,2,0)*P$5," ")</f>
        <v xml:space="preserve"> </v>
      </c>
      <c r="Q341" s="109" t="str">
        <f>IFERROR(VLOOKUP(Open[[#This Row],[TS ZH O/A 25.06.22 Rang]],$AJ$16:$AK$111,2,0)*Q$5," ")</f>
        <v xml:space="preserve"> </v>
      </c>
      <c r="R341" s="109" t="str">
        <f>IFERROR(VLOOKUP(Open[[#This Row],[TS ZH O/B 25.06.22 Rang]],$AJ$16:$AK$111,2,0)*R$5," ")</f>
        <v xml:space="preserve"> </v>
      </c>
      <c r="S341" s="109" t="str">
        <f>IFERROR(VLOOKUP(Open[[#This Row],[SM BE O/A 09.07.22 Rang]],$AJ$16:$AK$111,2,0)*S$5," ")</f>
        <v xml:space="preserve"> </v>
      </c>
      <c r="T341" s="109" t="str">
        <f>IFERROR(VLOOKUP(Open[[#This Row],[SM BE O/B 09.07.22 Rang]],$AJ$16:$AK$111,2,0)*T$5," ")</f>
        <v xml:space="preserve"> </v>
      </c>
      <c r="U341" s="11">
        <v>0</v>
      </c>
      <c r="V341" s="11">
        <v>0</v>
      </c>
      <c r="W341" s="11">
        <v>0</v>
      </c>
      <c r="X341" s="129"/>
      <c r="Y341" s="191"/>
      <c r="Z341" s="191"/>
      <c r="AA341" s="191"/>
      <c r="AB341" s="191"/>
      <c r="AC341" s="191"/>
      <c r="AD341" s="191"/>
      <c r="AE341" s="191"/>
      <c r="AF341" s="191"/>
    </row>
    <row r="342" spans="1:32" x14ac:dyDescent="0.2">
      <c r="A342" s="11">
        <v>173</v>
      </c>
      <c r="B342" s="11">
        <f>IF(Open[[#This Row],[PR Rang beim letzten Turnier]]&gt;Open[[#This Row],[PR Rang]],1,IF(Open[[#This Row],[PR Rang beim letzten Turnier]]=Open[[#This Row],[PR Rang]],0,-1))</f>
        <v>-1</v>
      </c>
      <c r="C342" s="147">
        <f>RANK(Open[[#This Row],[PR Punkte]],Open[PR Punkte],0)</f>
        <v>205</v>
      </c>
      <c r="D342" s="9" t="s">
        <v>153</v>
      </c>
      <c r="E342" s="9" t="s">
        <v>10</v>
      </c>
      <c r="F342" s="109">
        <f>SUM(Open[[#This Row],[PR 1]:[PR 3]])</f>
        <v>0</v>
      </c>
      <c r="G342" s="109">
        <f>LARGE(Open[[#This Row],[TS SH O 22.02.22]:[PR3]],1)</f>
        <v>0</v>
      </c>
      <c r="H342" s="109">
        <f>LARGE(Open[[#This Row],[TS SH O 22.02.22]:[PR3]],2)</f>
        <v>0</v>
      </c>
      <c r="I342" s="109">
        <f>LARGE(Open[[#This Row],[TS SH O 22.02.22]:[PR3]],3)</f>
        <v>0</v>
      </c>
      <c r="J342" s="9">
        <f>RANK(K342,$K$7:$K$361,0)</f>
        <v>205</v>
      </c>
      <c r="K342" s="109">
        <f>SUM(L342:W342)</f>
        <v>0</v>
      </c>
      <c r="L342" s="109" t="str">
        <f>IFERROR(VLOOKUP(Open[[#This Row],[TS SH 22.02.22 Rang]],$AJ$16:$AK$111,2,0)*L$5," ")</f>
        <v xml:space="preserve"> </v>
      </c>
      <c r="M342" s="109" t="str">
        <f>IFERROR(VLOOKUP(Open[[#This Row],[TS SH O 23.04.22 Rang]],$AJ$16:$AK$111,2,0)*M$5," ")</f>
        <v xml:space="preserve"> </v>
      </c>
      <c r="N342" s="109" t="str">
        <f>IFERROR(VLOOKUP(Open[[#This Row],[TS LA O 08.05.22 Rang]],$AJ$16:$AK$111,2,0)*N$5," ")</f>
        <v xml:space="preserve"> </v>
      </c>
      <c r="O342" s="109" t="str">
        <f>IFERROR(VLOOKUP(Open[[#This Row],[TS SG O 25.05.22 Rang]],$AJ$16:$AK$111,2,0)*O$5," ")</f>
        <v xml:space="preserve"> </v>
      </c>
      <c r="P342" s="109" t="str">
        <f>IFERROR(VLOOKUP(Open[[#This Row],[TS SH O 25.06.22 Rang]],$AJ$16:$AK$111,2,0)*P$5," ")</f>
        <v xml:space="preserve"> </v>
      </c>
      <c r="Q342" s="109" t="str">
        <f>IFERROR(VLOOKUP(Open[[#This Row],[TS ZH O/A 25.06.22 Rang]],$AJ$16:$AK$111,2,0)*Q$5," ")</f>
        <v xml:space="preserve"> </v>
      </c>
      <c r="R342" s="109" t="str">
        <f>IFERROR(VLOOKUP(Open[[#This Row],[TS ZH O/B 25.06.22 Rang]],$AJ$16:$AK$111,2,0)*R$5," ")</f>
        <v xml:space="preserve"> </v>
      </c>
      <c r="S342" s="109" t="str">
        <f>IFERROR(VLOOKUP(Open[[#This Row],[SM BE O/A 09.07.22 Rang]],$AJ$16:$AK$111,2,0)*S$5," ")</f>
        <v xml:space="preserve"> </v>
      </c>
      <c r="T342" s="109" t="str">
        <f>IFERROR(VLOOKUP(Open[[#This Row],[SM BE O/B 09.07.22 Rang]],$AJ$16:$AK$111,2,0)*T$5," ")</f>
        <v xml:space="preserve"> </v>
      </c>
      <c r="U342" s="11">
        <v>0</v>
      </c>
      <c r="V342" s="11">
        <v>0</v>
      </c>
      <c r="W342" s="11">
        <v>0</v>
      </c>
      <c r="X342" s="129"/>
      <c r="Y342" s="191"/>
      <c r="Z342" s="191"/>
      <c r="AA342" s="191"/>
      <c r="AB342" s="191"/>
      <c r="AC342" s="191"/>
      <c r="AD342" s="191"/>
      <c r="AE342" s="191"/>
      <c r="AF342" s="191"/>
    </row>
    <row r="343" spans="1:32" x14ac:dyDescent="0.2">
      <c r="A343" s="11">
        <v>173</v>
      </c>
      <c r="B343" s="11">
        <f>IF(Open[[#This Row],[PR Rang beim letzten Turnier]]&gt;Open[[#This Row],[PR Rang]],1,IF(Open[[#This Row],[PR Rang beim letzten Turnier]]=Open[[#This Row],[PR Rang]],0,-1))</f>
        <v>-1</v>
      </c>
      <c r="C343" s="147">
        <f>RANK(Open[[#This Row],[PR Punkte]],Open[PR Punkte],0)</f>
        <v>205</v>
      </c>
      <c r="D343" s="9" t="s">
        <v>140</v>
      </c>
      <c r="E343" s="9" t="s">
        <v>10</v>
      </c>
      <c r="F343" s="109">
        <f>SUM(Open[[#This Row],[PR 1]:[PR 3]])</f>
        <v>0</v>
      </c>
      <c r="G343" s="109">
        <f>LARGE(Open[[#This Row],[TS SH O 22.02.22]:[PR3]],1)</f>
        <v>0</v>
      </c>
      <c r="H343" s="109">
        <f>LARGE(Open[[#This Row],[TS SH O 22.02.22]:[PR3]],2)</f>
        <v>0</v>
      </c>
      <c r="I343" s="109">
        <f>LARGE(Open[[#This Row],[TS SH O 22.02.22]:[PR3]],3)</f>
        <v>0</v>
      </c>
      <c r="J343" s="9">
        <f>RANK(K343,$K$7:$K$361,0)</f>
        <v>205</v>
      </c>
      <c r="K343" s="109">
        <f>SUM(L343:W343)</f>
        <v>0</v>
      </c>
      <c r="L343" s="109" t="str">
        <f>IFERROR(VLOOKUP(Open[[#This Row],[TS SH 22.02.22 Rang]],$AJ$16:$AK$111,2,0)*L$5," ")</f>
        <v xml:space="preserve"> </v>
      </c>
      <c r="M343" s="109" t="str">
        <f>IFERROR(VLOOKUP(Open[[#This Row],[TS SH O 23.04.22 Rang]],$AJ$16:$AK$111,2,0)*M$5," ")</f>
        <v xml:space="preserve"> </v>
      </c>
      <c r="N343" s="109" t="str">
        <f>IFERROR(VLOOKUP(Open[[#This Row],[TS LA O 08.05.22 Rang]],$AJ$16:$AK$111,2,0)*N$5," ")</f>
        <v xml:space="preserve"> </v>
      </c>
      <c r="O343" s="109" t="str">
        <f>IFERROR(VLOOKUP(Open[[#This Row],[TS SG O 25.05.22 Rang]],$AJ$16:$AK$111,2,0)*O$5," ")</f>
        <v xml:space="preserve"> </v>
      </c>
      <c r="P343" s="109" t="str">
        <f>IFERROR(VLOOKUP(Open[[#This Row],[TS SH O 25.06.22 Rang]],$AJ$16:$AK$111,2,0)*P$5," ")</f>
        <v xml:space="preserve"> </v>
      </c>
      <c r="Q343" s="109" t="str">
        <f>IFERROR(VLOOKUP(Open[[#This Row],[TS ZH O/A 25.06.22 Rang]],$AJ$16:$AK$111,2,0)*Q$5," ")</f>
        <v xml:space="preserve"> </v>
      </c>
      <c r="R343" s="109" t="str">
        <f>IFERROR(VLOOKUP(Open[[#This Row],[TS ZH O/B 25.06.22 Rang]],$AJ$16:$AK$111,2,0)*R$5," ")</f>
        <v xml:space="preserve"> </v>
      </c>
      <c r="S343" s="109" t="str">
        <f>IFERROR(VLOOKUP(Open[[#This Row],[SM BE O/A 09.07.22 Rang]],$AJ$16:$AK$111,2,0)*S$5," ")</f>
        <v xml:space="preserve"> </v>
      </c>
      <c r="T343" s="109" t="str">
        <f>IFERROR(VLOOKUP(Open[[#This Row],[SM BE O/B 09.07.22 Rang]],$AJ$16:$AK$111,2,0)*T$5," ")</f>
        <v xml:space="preserve"> </v>
      </c>
      <c r="U343" s="11">
        <v>0</v>
      </c>
      <c r="V343" s="11">
        <v>0</v>
      </c>
      <c r="W343" s="11">
        <v>0</v>
      </c>
      <c r="X343" s="129"/>
      <c r="Y343" s="191"/>
      <c r="Z343" s="191"/>
      <c r="AA343" s="191"/>
      <c r="AB343" s="191"/>
      <c r="AC343" s="191"/>
      <c r="AD343" s="191"/>
      <c r="AE343" s="191"/>
      <c r="AF343" s="191"/>
    </row>
    <row r="344" spans="1:32" x14ac:dyDescent="0.2">
      <c r="A344" s="11">
        <v>173</v>
      </c>
      <c r="B344" s="11">
        <f>IF(Open[[#This Row],[PR Rang beim letzten Turnier]]&gt;Open[[#This Row],[PR Rang]],1,IF(Open[[#This Row],[PR Rang beim letzten Turnier]]=Open[[#This Row],[PR Rang]],0,-1))</f>
        <v>-1</v>
      </c>
      <c r="C344" s="147">
        <f>RANK(Open[[#This Row],[PR Punkte]],Open[PR Punkte],0)</f>
        <v>205</v>
      </c>
      <c r="D344" s="9" t="s">
        <v>139</v>
      </c>
      <c r="E344" s="9" t="s">
        <v>10</v>
      </c>
      <c r="F344" s="109">
        <f>SUM(Open[[#This Row],[PR 1]:[PR 3]])</f>
        <v>0</v>
      </c>
      <c r="G344" s="109">
        <f>LARGE(Open[[#This Row],[TS SH O 22.02.22]:[PR3]],1)</f>
        <v>0</v>
      </c>
      <c r="H344" s="109">
        <f>LARGE(Open[[#This Row],[TS SH O 22.02.22]:[PR3]],2)</f>
        <v>0</v>
      </c>
      <c r="I344" s="109">
        <f>LARGE(Open[[#This Row],[TS SH O 22.02.22]:[PR3]],3)</f>
        <v>0</v>
      </c>
      <c r="J344" s="9">
        <f>RANK(K344,$K$7:$K$361,0)</f>
        <v>205</v>
      </c>
      <c r="K344" s="109">
        <f>SUM(L344:W344)</f>
        <v>0</v>
      </c>
      <c r="L344" s="109" t="str">
        <f>IFERROR(VLOOKUP(Open[[#This Row],[TS SH 22.02.22 Rang]],$AJ$16:$AK$111,2,0)*L$5," ")</f>
        <v xml:space="preserve"> </v>
      </c>
      <c r="M344" s="109" t="str">
        <f>IFERROR(VLOOKUP(Open[[#This Row],[TS SH O 23.04.22 Rang]],$AJ$16:$AK$111,2,0)*M$5," ")</f>
        <v xml:space="preserve"> </v>
      </c>
      <c r="N344" s="109" t="str">
        <f>IFERROR(VLOOKUP(Open[[#This Row],[TS LA O 08.05.22 Rang]],$AJ$16:$AK$111,2,0)*N$5," ")</f>
        <v xml:space="preserve"> </v>
      </c>
      <c r="O344" s="109" t="str">
        <f>IFERROR(VLOOKUP(Open[[#This Row],[TS SG O 25.05.22 Rang]],$AJ$16:$AK$111,2,0)*O$5," ")</f>
        <v xml:space="preserve"> </v>
      </c>
      <c r="P344" s="109" t="str">
        <f>IFERROR(VLOOKUP(Open[[#This Row],[TS SH O 25.06.22 Rang]],$AJ$16:$AK$111,2,0)*P$5," ")</f>
        <v xml:space="preserve"> </v>
      </c>
      <c r="Q344" s="109" t="str">
        <f>IFERROR(VLOOKUP(Open[[#This Row],[TS ZH O/A 25.06.22 Rang]],$AJ$16:$AK$111,2,0)*Q$5," ")</f>
        <v xml:space="preserve"> </v>
      </c>
      <c r="R344" s="109" t="str">
        <f>IFERROR(VLOOKUP(Open[[#This Row],[TS ZH O/B 25.06.22 Rang]],$AJ$16:$AK$111,2,0)*R$5," ")</f>
        <v xml:space="preserve"> </v>
      </c>
      <c r="S344" s="109" t="str">
        <f>IFERROR(VLOOKUP(Open[[#This Row],[SM BE O/A 09.07.22 Rang]],$AJ$16:$AK$111,2,0)*S$5," ")</f>
        <v xml:space="preserve"> </v>
      </c>
      <c r="T344" s="109" t="str">
        <f>IFERROR(VLOOKUP(Open[[#This Row],[SM BE O/B 09.07.22 Rang]],$AJ$16:$AK$111,2,0)*T$5," ")</f>
        <v xml:space="preserve"> </v>
      </c>
      <c r="U344" s="11">
        <v>0</v>
      </c>
      <c r="V344" s="11">
        <v>0</v>
      </c>
      <c r="W344" s="11">
        <v>0</v>
      </c>
      <c r="X344" s="129"/>
      <c r="Y344" s="191"/>
      <c r="Z344" s="191"/>
      <c r="AA344" s="191"/>
      <c r="AB344" s="191"/>
      <c r="AC344" s="191"/>
      <c r="AD344" s="191"/>
      <c r="AE344" s="191"/>
      <c r="AF344" s="191"/>
    </row>
    <row r="345" spans="1:32" x14ac:dyDescent="0.2">
      <c r="A345" s="11">
        <v>173</v>
      </c>
      <c r="B345" s="11">
        <f>IF(Open[[#This Row],[PR Rang beim letzten Turnier]]&gt;Open[[#This Row],[PR Rang]],1,IF(Open[[#This Row],[PR Rang beim letzten Turnier]]=Open[[#This Row],[PR Rang]],0,-1))</f>
        <v>-1</v>
      </c>
      <c r="C345" s="147">
        <f>RANK(Open[[#This Row],[PR Punkte]],Open[PR Punkte],0)</f>
        <v>205</v>
      </c>
      <c r="D345" s="9" t="s">
        <v>141</v>
      </c>
      <c r="E345" s="9" t="s">
        <v>7</v>
      </c>
      <c r="F345" s="109">
        <f>SUM(Open[[#This Row],[PR 1]:[PR 3]])</f>
        <v>0</v>
      </c>
      <c r="G345" s="109">
        <f>LARGE(Open[[#This Row],[TS SH O 22.02.22]:[PR3]],1)</f>
        <v>0</v>
      </c>
      <c r="H345" s="109">
        <f>LARGE(Open[[#This Row],[TS SH O 22.02.22]:[PR3]],2)</f>
        <v>0</v>
      </c>
      <c r="I345" s="109">
        <f>LARGE(Open[[#This Row],[TS SH O 22.02.22]:[PR3]],3)</f>
        <v>0</v>
      </c>
      <c r="J345" s="9">
        <f>RANK(K345,$K$7:$K$361,0)</f>
        <v>205</v>
      </c>
      <c r="K345" s="109">
        <f>SUM(L345:W345)</f>
        <v>0</v>
      </c>
      <c r="L345" s="109" t="str">
        <f>IFERROR(VLOOKUP(Open[[#This Row],[TS SH 22.02.22 Rang]],$AJ$16:$AK$111,2,0)*L$5," ")</f>
        <v xml:space="preserve"> </v>
      </c>
      <c r="M345" s="109" t="str">
        <f>IFERROR(VLOOKUP(Open[[#This Row],[TS SH O 23.04.22 Rang]],$AJ$16:$AK$111,2,0)*M$5," ")</f>
        <v xml:space="preserve"> </v>
      </c>
      <c r="N345" s="109" t="str">
        <f>IFERROR(VLOOKUP(Open[[#This Row],[TS LA O 08.05.22 Rang]],$AJ$16:$AK$111,2,0)*N$5," ")</f>
        <v xml:space="preserve"> </v>
      </c>
      <c r="O345" s="109" t="str">
        <f>IFERROR(VLOOKUP(Open[[#This Row],[TS SG O 25.05.22 Rang]],$AJ$16:$AK$111,2,0)*O$5," ")</f>
        <v xml:space="preserve"> </v>
      </c>
      <c r="P345" s="109" t="str">
        <f>IFERROR(VLOOKUP(Open[[#This Row],[TS SH O 25.06.22 Rang]],$AJ$16:$AK$111,2,0)*P$5," ")</f>
        <v xml:space="preserve"> </v>
      </c>
      <c r="Q345" s="109" t="str">
        <f>IFERROR(VLOOKUP(Open[[#This Row],[TS ZH O/A 25.06.22 Rang]],$AJ$16:$AK$111,2,0)*Q$5," ")</f>
        <v xml:space="preserve"> </v>
      </c>
      <c r="R345" s="109" t="str">
        <f>IFERROR(VLOOKUP(Open[[#This Row],[TS ZH O/B 25.06.22 Rang]],$AJ$16:$AK$111,2,0)*R$5," ")</f>
        <v xml:space="preserve"> </v>
      </c>
      <c r="S345" s="109" t="str">
        <f>IFERROR(VLOOKUP(Open[[#This Row],[SM BE O/A 09.07.22 Rang]],$AJ$16:$AK$111,2,0)*S$5," ")</f>
        <v xml:space="preserve"> </v>
      </c>
      <c r="T345" s="109" t="str">
        <f>IFERROR(VLOOKUP(Open[[#This Row],[SM BE O/B 09.07.22 Rang]],$AJ$16:$AK$111,2,0)*T$5," ")</f>
        <v xml:space="preserve"> </v>
      </c>
      <c r="U345" s="11">
        <v>0</v>
      </c>
      <c r="V345" s="11">
        <v>0</v>
      </c>
      <c r="W345" s="11">
        <v>0</v>
      </c>
      <c r="X345" s="129"/>
      <c r="Y345" s="191"/>
      <c r="Z345" s="191"/>
      <c r="AA345" s="191"/>
      <c r="AB345" s="191"/>
      <c r="AC345" s="191"/>
      <c r="AD345" s="191"/>
      <c r="AE345" s="191"/>
      <c r="AF345" s="191"/>
    </row>
    <row r="346" spans="1:32" x14ac:dyDescent="0.2">
      <c r="A346" s="11">
        <v>173</v>
      </c>
      <c r="B346" s="11">
        <f>IF(Open[[#This Row],[PR Rang beim letzten Turnier]]&gt;Open[[#This Row],[PR Rang]],1,IF(Open[[#This Row],[PR Rang beim letzten Turnier]]=Open[[#This Row],[PR Rang]],0,-1))</f>
        <v>-1</v>
      </c>
      <c r="C346" s="147">
        <f>RANK(Open[[#This Row],[PR Punkte]],Open[PR Punkte],0)</f>
        <v>205</v>
      </c>
      <c r="D346" s="9" t="s">
        <v>138</v>
      </c>
      <c r="E346" s="9" t="s">
        <v>11</v>
      </c>
      <c r="F346" s="109">
        <f>SUM(Open[[#This Row],[PR 1]:[PR 3]])</f>
        <v>0</v>
      </c>
      <c r="G346" s="109">
        <f>LARGE(Open[[#This Row],[TS SH O 22.02.22]:[PR3]],1)</f>
        <v>0</v>
      </c>
      <c r="H346" s="109">
        <f>LARGE(Open[[#This Row],[TS SH O 22.02.22]:[PR3]],2)</f>
        <v>0</v>
      </c>
      <c r="I346" s="109">
        <f>LARGE(Open[[#This Row],[TS SH O 22.02.22]:[PR3]],3)</f>
        <v>0</v>
      </c>
      <c r="J346" s="9">
        <f>RANK(K346,$K$7:$K$361,0)</f>
        <v>205</v>
      </c>
      <c r="K346" s="109">
        <f>SUM(L346:W346)</f>
        <v>0</v>
      </c>
      <c r="L346" s="109" t="str">
        <f>IFERROR(VLOOKUP(Open[[#This Row],[TS SH 22.02.22 Rang]],$AJ$16:$AK$111,2,0)*L$5," ")</f>
        <v xml:space="preserve"> </v>
      </c>
      <c r="M346" s="109" t="str">
        <f>IFERROR(VLOOKUP(Open[[#This Row],[TS SH O 23.04.22 Rang]],$AJ$16:$AK$111,2,0)*M$5," ")</f>
        <v xml:space="preserve"> </v>
      </c>
      <c r="N346" s="109" t="str">
        <f>IFERROR(VLOOKUP(Open[[#This Row],[TS LA O 08.05.22 Rang]],$AJ$16:$AK$111,2,0)*N$5," ")</f>
        <v xml:space="preserve"> </v>
      </c>
      <c r="O346" s="109" t="str">
        <f>IFERROR(VLOOKUP(Open[[#This Row],[TS SG O 25.05.22 Rang]],$AJ$16:$AK$111,2,0)*O$5," ")</f>
        <v xml:space="preserve"> </v>
      </c>
      <c r="P346" s="109" t="str">
        <f>IFERROR(VLOOKUP(Open[[#This Row],[TS SH O 25.06.22 Rang]],$AJ$16:$AK$111,2,0)*P$5," ")</f>
        <v xml:space="preserve"> </v>
      </c>
      <c r="Q346" s="109" t="str">
        <f>IFERROR(VLOOKUP(Open[[#This Row],[TS ZH O/A 25.06.22 Rang]],$AJ$16:$AK$111,2,0)*Q$5," ")</f>
        <v xml:space="preserve"> </v>
      </c>
      <c r="R346" s="109" t="str">
        <f>IFERROR(VLOOKUP(Open[[#This Row],[TS ZH O/B 25.06.22 Rang]],$AJ$16:$AK$111,2,0)*R$5," ")</f>
        <v xml:space="preserve"> </v>
      </c>
      <c r="S346" s="109" t="str">
        <f>IFERROR(VLOOKUP(Open[[#This Row],[SM BE O/A 09.07.22 Rang]],$AJ$16:$AK$111,2,0)*S$5," ")</f>
        <v xml:space="preserve"> </v>
      </c>
      <c r="T346" s="109" t="str">
        <f>IFERROR(VLOOKUP(Open[[#This Row],[SM BE O/B 09.07.22 Rang]],$AJ$16:$AK$111,2,0)*T$5," ")</f>
        <v xml:space="preserve"> </v>
      </c>
      <c r="U346" s="11">
        <v>0</v>
      </c>
      <c r="V346" s="11">
        <v>0</v>
      </c>
      <c r="W346" s="11">
        <v>0</v>
      </c>
      <c r="X346" s="129"/>
      <c r="Y346" s="191"/>
      <c r="Z346" s="191"/>
      <c r="AA346" s="191"/>
      <c r="AB346" s="191"/>
      <c r="AC346" s="191"/>
      <c r="AD346" s="191"/>
      <c r="AE346" s="191"/>
      <c r="AF346" s="191"/>
    </row>
    <row r="347" spans="1:32" x14ac:dyDescent="0.2">
      <c r="A347" s="11">
        <v>173</v>
      </c>
      <c r="B347" s="11">
        <f>IF(Open[[#This Row],[PR Rang beim letzten Turnier]]&gt;Open[[#This Row],[PR Rang]],1,IF(Open[[#This Row],[PR Rang beim letzten Turnier]]=Open[[#This Row],[PR Rang]],0,-1))</f>
        <v>-1</v>
      </c>
      <c r="C347" s="147">
        <f>RANK(Open[[#This Row],[PR Punkte]],Open[PR Punkte],0)</f>
        <v>205</v>
      </c>
      <c r="D347" s="9" t="s">
        <v>137</v>
      </c>
      <c r="E347" s="9" t="s">
        <v>11</v>
      </c>
      <c r="F347" s="109">
        <f>SUM(Open[[#This Row],[PR 1]:[PR 3]])</f>
        <v>0</v>
      </c>
      <c r="G347" s="109">
        <f>LARGE(Open[[#This Row],[TS SH O 22.02.22]:[PR3]],1)</f>
        <v>0</v>
      </c>
      <c r="H347" s="109">
        <f>LARGE(Open[[#This Row],[TS SH O 22.02.22]:[PR3]],2)</f>
        <v>0</v>
      </c>
      <c r="I347" s="109">
        <f>LARGE(Open[[#This Row],[TS SH O 22.02.22]:[PR3]],3)</f>
        <v>0</v>
      </c>
      <c r="J347" s="9">
        <f>RANK(K347,$K$7:$K$361,0)</f>
        <v>205</v>
      </c>
      <c r="K347" s="109">
        <f>SUM(L347:W347)</f>
        <v>0</v>
      </c>
      <c r="L347" s="109" t="str">
        <f>IFERROR(VLOOKUP(Open[[#This Row],[TS SH 22.02.22 Rang]],$AJ$16:$AK$111,2,0)*L$5," ")</f>
        <v xml:space="preserve"> </v>
      </c>
      <c r="M347" s="109" t="str">
        <f>IFERROR(VLOOKUP(Open[[#This Row],[TS SH O 23.04.22 Rang]],$AJ$16:$AK$111,2,0)*M$5," ")</f>
        <v xml:space="preserve"> </v>
      </c>
      <c r="N347" s="109" t="str">
        <f>IFERROR(VLOOKUP(Open[[#This Row],[TS LA O 08.05.22 Rang]],$AJ$16:$AK$111,2,0)*N$5," ")</f>
        <v xml:space="preserve"> </v>
      </c>
      <c r="O347" s="109" t="str">
        <f>IFERROR(VLOOKUP(Open[[#This Row],[TS SG O 25.05.22 Rang]],$AJ$16:$AK$111,2,0)*O$5," ")</f>
        <v xml:space="preserve"> </v>
      </c>
      <c r="P347" s="109" t="str">
        <f>IFERROR(VLOOKUP(Open[[#This Row],[TS SH O 25.06.22 Rang]],$AJ$16:$AK$111,2,0)*P$5," ")</f>
        <v xml:space="preserve"> </v>
      </c>
      <c r="Q347" s="109" t="str">
        <f>IFERROR(VLOOKUP(Open[[#This Row],[TS ZH O/A 25.06.22 Rang]],$AJ$16:$AK$111,2,0)*Q$5," ")</f>
        <v xml:space="preserve"> </v>
      </c>
      <c r="R347" s="109" t="str">
        <f>IFERROR(VLOOKUP(Open[[#This Row],[TS ZH O/B 25.06.22 Rang]],$AJ$16:$AK$111,2,0)*R$5," ")</f>
        <v xml:space="preserve"> </v>
      </c>
      <c r="S347" s="109" t="str">
        <f>IFERROR(VLOOKUP(Open[[#This Row],[SM BE O/A 09.07.22 Rang]],$AJ$16:$AK$111,2,0)*S$5," ")</f>
        <v xml:space="preserve"> </v>
      </c>
      <c r="T347" s="109" t="str">
        <f>IFERROR(VLOOKUP(Open[[#This Row],[SM BE O/B 09.07.22 Rang]],$AJ$16:$AK$111,2,0)*T$5," ")</f>
        <v xml:space="preserve"> </v>
      </c>
      <c r="U347" s="11">
        <v>0</v>
      </c>
      <c r="V347" s="11">
        <v>0</v>
      </c>
      <c r="W347" s="11">
        <v>0</v>
      </c>
      <c r="X347" s="129"/>
      <c r="Y347" s="191"/>
      <c r="Z347" s="191"/>
      <c r="AA347" s="191"/>
      <c r="AB347" s="191"/>
      <c r="AC347" s="191"/>
      <c r="AD347" s="191"/>
      <c r="AE347" s="191"/>
      <c r="AF347" s="191"/>
    </row>
    <row r="348" spans="1:32" x14ac:dyDescent="0.2">
      <c r="A348" s="11">
        <v>173</v>
      </c>
      <c r="B348" s="11">
        <f>IF(Open[[#This Row],[PR Rang beim letzten Turnier]]&gt;Open[[#This Row],[PR Rang]],1,IF(Open[[#This Row],[PR Rang beim letzten Turnier]]=Open[[#This Row],[PR Rang]],0,-1))</f>
        <v>-1</v>
      </c>
      <c r="C348" s="147">
        <f>RANK(Open[[#This Row],[PR Punkte]],Open[PR Punkte],0)</f>
        <v>205</v>
      </c>
      <c r="D348" s="31" t="s">
        <v>54</v>
      </c>
      <c r="E348" s="9" t="s">
        <v>10</v>
      </c>
      <c r="F348" s="109">
        <f>SUM(Open[[#This Row],[PR 1]:[PR 3]])</f>
        <v>0</v>
      </c>
      <c r="G348" s="109">
        <f>LARGE(Open[[#This Row],[TS SH O 22.02.22]:[PR3]],1)</f>
        <v>0</v>
      </c>
      <c r="H348" s="109">
        <f>LARGE(Open[[#This Row],[TS SH O 22.02.22]:[PR3]],2)</f>
        <v>0</v>
      </c>
      <c r="I348" s="109">
        <f>LARGE(Open[[#This Row],[TS SH O 22.02.22]:[PR3]],3)</f>
        <v>0</v>
      </c>
      <c r="J348" s="9">
        <f>RANK(K348,$K$7:$K$361,0)</f>
        <v>205</v>
      </c>
      <c r="K348" s="109">
        <f>SUM(L348:W348)</f>
        <v>0</v>
      </c>
      <c r="L348" s="109" t="str">
        <f>IFERROR(VLOOKUP(Open[[#This Row],[TS SH 22.02.22 Rang]],$AJ$16:$AK$111,2,0)*L$5," ")</f>
        <v xml:space="preserve"> </v>
      </c>
      <c r="M348" s="109" t="str">
        <f>IFERROR(VLOOKUP(Open[[#This Row],[TS SH O 23.04.22 Rang]],$AJ$16:$AK$111,2,0)*M$5," ")</f>
        <v xml:space="preserve"> </v>
      </c>
      <c r="N348" s="109" t="str">
        <f>IFERROR(VLOOKUP(Open[[#This Row],[TS LA O 08.05.22 Rang]],$AJ$16:$AK$111,2,0)*N$5," ")</f>
        <v xml:space="preserve"> </v>
      </c>
      <c r="O348" s="109" t="str">
        <f>IFERROR(VLOOKUP(Open[[#This Row],[TS SG O 25.05.22 Rang]],$AJ$16:$AK$111,2,0)*O$5," ")</f>
        <v xml:space="preserve"> </v>
      </c>
      <c r="P348" s="109" t="str">
        <f>IFERROR(VLOOKUP(Open[[#This Row],[TS SH O 25.06.22 Rang]],$AJ$16:$AK$111,2,0)*P$5," ")</f>
        <v xml:space="preserve"> </v>
      </c>
      <c r="Q348" s="109" t="str">
        <f>IFERROR(VLOOKUP(Open[[#This Row],[TS ZH O/A 25.06.22 Rang]],$AJ$16:$AK$111,2,0)*Q$5," ")</f>
        <v xml:space="preserve"> </v>
      </c>
      <c r="R348" s="109" t="str">
        <f>IFERROR(VLOOKUP(Open[[#This Row],[TS ZH O/B 25.06.22 Rang]],$AJ$16:$AK$111,2,0)*R$5," ")</f>
        <v xml:space="preserve"> </v>
      </c>
      <c r="S348" s="109" t="str">
        <f>IFERROR(VLOOKUP(Open[[#This Row],[SM BE O/A 09.07.22 Rang]],$AJ$16:$AK$111,2,0)*S$5," ")</f>
        <v xml:space="preserve"> </v>
      </c>
      <c r="T348" s="109" t="str">
        <f>IFERROR(VLOOKUP(Open[[#This Row],[SM BE O/B 09.07.22 Rang]],$AJ$16:$AK$111,2,0)*T$5," ")</f>
        <v xml:space="preserve"> </v>
      </c>
      <c r="U348" s="11">
        <v>0</v>
      </c>
      <c r="V348" s="11">
        <v>0</v>
      </c>
      <c r="W348" s="11">
        <v>0</v>
      </c>
      <c r="X348" s="129"/>
      <c r="Y348" s="191"/>
      <c r="Z348" s="191"/>
      <c r="AA348" s="191"/>
      <c r="AB348" s="191"/>
      <c r="AC348" s="191"/>
      <c r="AD348" s="191"/>
      <c r="AE348" s="191"/>
      <c r="AF348" s="191"/>
    </row>
    <row r="349" spans="1:32" x14ac:dyDescent="0.2">
      <c r="A349" s="11">
        <v>173</v>
      </c>
      <c r="B349" s="11">
        <f>IF(Open[[#This Row],[PR Rang beim letzten Turnier]]&gt;Open[[#This Row],[PR Rang]],1,IF(Open[[#This Row],[PR Rang beim letzten Turnier]]=Open[[#This Row],[PR Rang]],0,-1))</f>
        <v>-1</v>
      </c>
      <c r="C349" s="147">
        <f>RANK(Open[[#This Row],[PR Punkte]],Open[PR Punkte],0)</f>
        <v>205</v>
      </c>
      <c r="D349" s="31" t="s">
        <v>87</v>
      </c>
      <c r="E349" s="12" t="s">
        <v>8</v>
      </c>
      <c r="F349" s="109">
        <f>SUM(Open[[#This Row],[PR 1]:[PR 3]])</f>
        <v>0</v>
      </c>
      <c r="G349" s="109">
        <f>LARGE(Open[[#This Row],[TS SH O 22.02.22]:[PR3]],1)</f>
        <v>0</v>
      </c>
      <c r="H349" s="109">
        <f>LARGE(Open[[#This Row],[TS SH O 22.02.22]:[PR3]],2)</f>
        <v>0</v>
      </c>
      <c r="I349" s="109">
        <f>LARGE(Open[[#This Row],[TS SH O 22.02.22]:[PR3]],3)</f>
        <v>0</v>
      </c>
      <c r="J349" s="9">
        <f>RANK(K349,$K$7:$K$361,0)</f>
        <v>205</v>
      </c>
      <c r="K349" s="109">
        <f>SUM(L349:W349)</f>
        <v>0</v>
      </c>
      <c r="L349" s="109" t="str">
        <f>IFERROR(VLOOKUP(Open[[#This Row],[TS SH 22.02.22 Rang]],$AJ$16:$AK$111,2,0)*L$5," ")</f>
        <v xml:space="preserve"> </v>
      </c>
      <c r="M349" s="109" t="str">
        <f>IFERROR(VLOOKUP(Open[[#This Row],[TS SH O 23.04.22 Rang]],$AJ$16:$AK$111,2,0)*M$5," ")</f>
        <v xml:space="preserve"> </v>
      </c>
      <c r="N349" s="109" t="str">
        <f>IFERROR(VLOOKUP(Open[[#This Row],[TS LA O 08.05.22 Rang]],$AJ$16:$AK$111,2,0)*N$5," ")</f>
        <v xml:space="preserve"> </v>
      </c>
      <c r="O349" s="109" t="str">
        <f>IFERROR(VLOOKUP(Open[[#This Row],[TS SG O 25.05.22 Rang]],$AJ$16:$AK$111,2,0)*O$5," ")</f>
        <v xml:space="preserve"> </v>
      </c>
      <c r="P349" s="109" t="str">
        <f>IFERROR(VLOOKUP(Open[[#This Row],[TS SH O 25.06.22 Rang]],$AJ$16:$AK$111,2,0)*P$5," ")</f>
        <v xml:space="preserve"> </v>
      </c>
      <c r="Q349" s="109" t="str">
        <f>IFERROR(VLOOKUP(Open[[#This Row],[TS ZH O/A 25.06.22 Rang]],$AJ$16:$AK$111,2,0)*Q$5," ")</f>
        <v xml:space="preserve"> </v>
      </c>
      <c r="R349" s="109" t="str">
        <f>IFERROR(VLOOKUP(Open[[#This Row],[TS ZH O/B 25.06.22 Rang]],$AJ$16:$AK$111,2,0)*R$5," ")</f>
        <v xml:space="preserve"> </v>
      </c>
      <c r="S349" s="109" t="str">
        <f>IFERROR(VLOOKUP(Open[[#This Row],[SM BE O/A 09.07.22 Rang]],$AJ$16:$AK$111,2,0)*S$5," ")</f>
        <v xml:space="preserve"> </v>
      </c>
      <c r="T349" s="109" t="str">
        <f>IFERROR(VLOOKUP(Open[[#This Row],[SM BE O/B 09.07.22 Rang]],$AJ$16:$AK$111,2,0)*T$5," ")</f>
        <v xml:space="preserve"> </v>
      </c>
      <c r="U349" s="11">
        <v>0</v>
      </c>
      <c r="V349" s="11">
        <v>0</v>
      </c>
      <c r="W349" s="11">
        <v>0</v>
      </c>
      <c r="X349" s="129"/>
      <c r="Y349" s="191"/>
      <c r="Z349" s="191"/>
      <c r="AA349" s="191"/>
      <c r="AB349" s="191"/>
      <c r="AC349" s="191"/>
      <c r="AD349" s="191"/>
      <c r="AE349" s="191"/>
      <c r="AF349" s="191"/>
    </row>
    <row r="350" spans="1:32" x14ac:dyDescent="0.2">
      <c r="A350" s="11">
        <v>173</v>
      </c>
      <c r="B350" s="11">
        <f>IF(Open[[#This Row],[PR Rang beim letzten Turnier]]&gt;Open[[#This Row],[PR Rang]],1,IF(Open[[#This Row],[PR Rang beim letzten Turnier]]=Open[[#This Row],[PR Rang]],0,-1))</f>
        <v>-1</v>
      </c>
      <c r="C350" s="147">
        <f>RANK(Open[[#This Row],[PR Punkte]],Open[PR Punkte],0)</f>
        <v>205</v>
      </c>
      <c r="D350" s="31" t="s">
        <v>103</v>
      </c>
      <c r="E350" s="11" t="s">
        <v>11</v>
      </c>
      <c r="F350" s="109">
        <f>SUM(Open[[#This Row],[PR 1]:[PR 3]])</f>
        <v>0</v>
      </c>
      <c r="G350" s="109">
        <f>LARGE(Open[[#This Row],[TS SH O 22.02.22]:[PR3]],1)</f>
        <v>0</v>
      </c>
      <c r="H350" s="109">
        <f>LARGE(Open[[#This Row],[TS SH O 22.02.22]:[PR3]],2)</f>
        <v>0</v>
      </c>
      <c r="I350" s="109">
        <f>LARGE(Open[[#This Row],[TS SH O 22.02.22]:[PR3]],3)</f>
        <v>0</v>
      </c>
      <c r="J350" s="9">
        <f>RANK(K350,$K$7:$K$361,0)</f>
        <v>205</v>
      </c>
      <c r="K350" s="109">
        <f>SUM(L350:W350)</f>
        <v>0</v>
      </c>
      <c r="L350" s="109" t="str">
        <f>IFERROR(VLOOKUP(Open[[#This Row],[TS SH 22.02.22 Rang]],$AJ$16:$AK$111,2,0)*L$5," ")</f>
        <v xml:space="preserve"> </v>
      </c>
      <c r="M350" s="109" t="str">
        <f>IFERROR(VLOOKUP(Open[[#This Row],[TS SH O 23.04.22 Rang]],$AJ$16:$AK$111,2,0)*M$5," ")</f>
        <v xml:space="preserve"> </v>
      </c>
      <c r="N350" s="109" t="str">
        <f>IFERROR(VLOOKUP(Open[[#This Row],[TS LA O 08.05.22 Rang]],$AJ$16:$AK$111,2,0)*N$5," ")</f>
        <v xml:space="preserve"> </v>
      </c>
      <c r="O350" s="109" t="str">
        <f>IFERROR(VLOOKUP(Open[[#This Row],[TS SG O 25.05.22 Rang]],$AJ$16:$AK$111,2,0)*O$5," ")</f>
        <v xml:space="preserve"> </v>
      </c>
      <c r="P350" s="109" t="str">
        <f>IFERROR(VLOOKUP(Open[[#This Row],[TS SH O 25.06.22 Rang]],$AJ$16:$AK$111,2,0)*P$5," ")</f>
        <v xml:space="preserve"> </v>
      </c>
      <c r="Q350" s="109" t="str">
        <f>IFERROR(VLOOKUP(Open[[#This Row],[TS ZH O/A 25.06.22 Rang]],$AJ$16:$AK$111,2,0)*Q$5," ")</f>
        <v xml:space="preserve"> </v>
      </c>
      <c r="R350" s="109" t="str">
        <f>IFERROR(VLOOKUP(Open[[#This Row],[TS ZH O/B 25.06.22 Rang]],$AJ$16:$AK$111,2,0)*R$5," ")</f>
        <v xml:space="preserve"> </v>
      </c>
      <c r="S350" s="109" t="str">
        <f>IFERROR(VLOOKUP(Open[[#This Row],[SM BE O/A 09.07.22 Rang]],$AJ$16:$AK$111,2,0)*S$5," ")</f>
        <v xml:space="preserve"> </v>
      </c>
      <c r="T350" s="109" t="str">
        <f>IFERROR(VLOOKUP(Open[[#This Row],[SM BE O/B 09.07.22 Rang]],$AJ$16:$AK$111,2,0)*T$5," ")</f>
        <v xml:space="preserve"> </v>
      </c>
      <c r="U350" s="11">
        <v>0</v>
      </c>
      <c r="V350" s="11">
        <v>0</v>
      </c>
      <c r="W350" s="11">
        <v>0</v>
      </c>
      <c r="X350" s="129"/>
      <c r="Y350" s="191"/>
      <c r="Z350" s="191"/>
      <c r="AA350" s="191"/>
      <c r="AB350" s="191"/>
      <c r="AC350" s="191"/>
      <c r="AD350" s="191"/>
      <c r="AE350" s="191"/>
      <c r="AF350" s="191"/>
    </row>
    <row r="351" spans="1:32" x14ac:dyDescent="0.2">
      <c r="A351" s="11">
        <v>173</v>
      </c>
      <c r="B351" s="11">
        <f>IF(Open[[#This Row],[PR Rang beim letzten Turnier]]&gt;Open[[#This Row],[PR Rang]],1,IF(Open[[#This Row],[PR Rang beim letzten Turnier]]=Open[[#This Row],[PR Rang]],0,-1))</f>
        <v>-1</v>
      </c>
      <c r="C351" s="147">
        <f>RANK(Open[[#This Row],[PR Punkte]],Open[PR Punkte],0)</f>
        <v>205</v>
      </c>
      <c r="D351" s="31" t="s">
        <v>69</v>
      </c>
      <c r="E351" s="9" t="s">
        <v>11</v>
      </c>
      <c r="F351" s="109">
        <f>SUM(Open[[#This Row],[PR 1]:[PR 3]])</f>
        <v>0</v>
      </c>
      <c r="G351" s="109">
        <f>LARGE(Open[[#This Row],[TS SH O 22.02.22]:[PR3]],1)</f>
        <v>0</v>
      </c>
      <c r="H351" s="109">
        <f>LARGE(Open[[#This Row],[TS SH O 22.02.22]:[PR3]],2)</f>
        <v>0</v>
      </c>
      <c r="I351" s="109">
        <f>LARGE(Open[[#This Row],[TS SH O 22.02.22]:[PR3]],3)</f>
        <v>0</v>
      </c>
      <c r="J351" s="9">
        <f>RANK(K351,$K$7:$K$361,0)</f>
        <v>205</v>
      </c>
      <c r="K351" s="109">
        <f>SUM(L351:W351)</f>
        <v>0</v>
      </c>
      <c r="L351" s="109" t="str">
        <f>IFERROR(VLOOKUP(Open[[#This Row],[TS SH 22.02.22 Rang]],$AJ$16:$AK$111,2,0)*L$5," ")</f>
        <v xml:space="preserve"> </v>
      </c>
      <c r="M351" s="109" t="str">
        <f>IFERROR(VLOOKUP(Open[[#This Row],[TS SH O 23.04.22 Rang]],$AJ$16:$AK$111,2,0)*M$5," ")</f>
        <v xml:space="preserve"> </v>
      </c>
      <c r="N351" s="109" t="str">
        <f>IFERROR(VLOOKUP(Open[[#This Row],[TS LA O 08.05.22 Rang]],$AJ$16:$AK$111,2,0)*N$5," ")</f>
        <v xml:space="preserve"> </v>
      </c>
      <c r="O351" s="109" t="str">
        <f>IFERROR(VLOOKUP(Open[[#This Row],[TS SG O 25.05.22 Rang]],$AJ$16:$AK$111,2,0)*O$5," ")</f>
        <v xml:space="preserve"> </v>
      </c>
      <c r="P351" s="109" t="str">
        <f>IFERROR(VLOOKUP(Open[[#This Row],[TS SH O 25.06.22 Rang]],$AJ$16:$AK$111,2,0)*P$5," ")</f>
        <v xml:space="preserve"> </v>
      </c>
      <c r="Q351" s="109" t="str">
        <f>IFERROR(VLOOKUP(Open[[#This Row],[TS ZH O/A 25.06.22 Rang]],$AJ$16:$AK$111,2,0)*Q$5," ")</f>
        <v xml:space="preserve"> </v>
      </c>
      <c r="R351" s="109" t="str">
        <f>IFERROR(VLOOKUP(Open[[#This Row],[TS ZH O/B 25.06.22 Rang]],$AJ$16:$AK$111,2,0)*R$5," ")</f>
        <v xml:space="preserve"> </v>
      </c>
      <c r="S351" s="109" t="str">
        <f>IFERROR(VLOOKUP(Open[[#This Row],[SM BE O/A 09.07.22 Rang]],$AJ$16:$AK$111,2,0)*S$5," ")</f>
        <v xml:space="preserve"> </v>
      </c>
      <c r="T351" s="109" t="str">
        <f>IFERROR(VLOOKUP(Open[[#This Row],[SM BE O/B 09.07.22 Rang]],$AJ$16:$AK$111,2,0)*T$5," ")</f>
        <v xml:space="preserve"> </v>
      </c>
      <c r="U351" s="11">
        <v>0</v>
      </c>
      <c r="V351" s="11">
        <v>0</v>
      </c>
      <c r="W351" s="11">
        <v>0</v>
      </c>
      <c r="X351" s="129"/>
      <c r="Y351" s="191"/>
      <c r="Z351" s="191"/>
      <c r="AA351" s="191"/>
      <c r="AB351" s="191"/>
      <c r="AC351" s="191"/>
      <c r="AD351" s="191"/>
      <c r="AE351" s="191"/>
      <c r="AF351" s="191"/>
    </row>
    <row r="352" spans="1:32" x14ac:dyDescent="0.2">
      <c r="A352" s="11">
        <v>173</v>
      </c>
      <c r="B352" s="11">
        <f>IF(Open[[#This Row],[PR Rang beim letzten Turnier]]&gt;Open[[#This Row],[PR Rang]],1,IF(Open[[#This Row],[PR Rang beim letzten Turnier]]=Open[[#This Row],[PR Rang]],0,-1))</f>
        <v>-1</v>
      </c>
      <c r="C352" s="147">
        <f>RANK(Open[[#This Row],[PR Punkte]],Open[PR Punkte],0)</f>
        <v>205</v>
      </c>
      <c r="D352" s="31" t="s">
        <v>66</v>
      </c>
      <c r="E352" s="9" t="s">
        <v>10</v>
      </c>
      <c r="F352" s="109">
        <f>SUM(Open[[#This Row],[PR 1]:[PR 3]])</f>
        <v>0</v>
      </c>
      <c r="G352" s="109">
        <f>LARGE(Open[[#This Row],[TS SH O 22.02.22]:[PR3]],1)</f>
        <v>0</v>
      </c>
      <c r="H352" s="109">
        <f>LARGE(Open[[#This Row],[TS SH O 22.02.22]:[PR3]],2)</f>
        <v>0</v>
      </c>
      <c r="I352" s="109">
        <f>LARGE(Open[[#This Row],[TS SH O 22.02.22]:[PR3]],3)</f>
        <v>0</v>
      </c>
      <c r="J352" s="9">
        <f>RANK(K352,$K$7:$K$361,0)</f>
        <v>205</v>
      </c>
      <c r="K352" s="109">
        <f>SUM(L352:W352)</f>
        <v>0</v>
      </c>
      <c r="L352" s="109" t="str">
        <f>IFERROR(VLOOKUP(Open[[#This Row],[TS SH 22.02.22 Rang]],$AJ$16:$AK$111,2,0)*L$5," ")</f>
        <v xml:space="preserve"> </v>
      </c>
      <c r="M352" s="109" t="str">
        <f>IFERROR(VLOOKUP(Open[[#This Row],[TS SH O 23.04.22 Rang]],$AJ$16:$AK$111,2,0)*M$5," ")</f>
        <v xml:space="preserve"> </v>
      </c>
      <c r="N352" s="109" t="str">
        <f>IFERROR(VLOOKUP(Open[[#This Row],[TS LA O 08.05.22 Rang]],$AJ$16:$AK$111,2,0)*N$5," ")</f>
        <v xml:space="preserve"> </v>
      </c>
      <c r="O352" s="109" t="str">
        <f>IFERROR(VLOOKUP(Open[[#This Row],[TS SG O 25.05.22 Rang]],$AJ$16:$AK$111,2,0)*O$5," ")</f>
        <v xml:space="preserve"> </v>
      </c>
      <c r="P352" s="109" t="str">
        <f>IFERROR(VLOOKUP(Open[[#This Row],[TS SH O 25.06.22 Rang]],$AJ$16:$AK$111,2,0)*P$5," ")</f>
        <v xml:space="preserve"> </v>
      </c>
      <c r="Q352" s="109" t="str">
        <f>IFERROR(VLOOKUP(Open[[#This Row],[TS ZH O/A 25.06.22 Rang]],$AJ$16:$AK$111,2,0)*Q$5," ")</f>
        <v xml:space="preserve"> </v>
      </c>
      <c r="R352" s="109" t="str">
        <f>IFERROR(VLOOKUP(Open[[#This Row],[TS ZH O/B 25.06.22 Rang]],$AJ$16:$AK$111,2,0)*R$5," ")</f>
        <v xml:space="preserve"> </v>
      </c>
      <c r="S352" s="109" t="str">
        <f>IFERROR(VLOOKUP(Open[[#This Row],[SM BE O/A 09.07.22 Rang]],$AJ$16:$AK$111,2,0)*S$5," ")</f>
        <v xml:space="preserve"> </v>
      </c>
      <c r="T352" s="109" t="str">
        <f>IFERROR(VLOOKUP(Open[[#This Row],[SM BE O/B 09.07.22 Rang]],$AJ$16:$AK$111,2,0)*T$5," ")</f>
        <v xml:space="preserve"> </v>
      </c>
      <c r="U352" s="11">
        <v>0</v>
      </c>
      <c r="V352" s="11">
        <v>0</v>
      </c>
      <c r="W352" s="11">
        <v>0</v>
      </c>
      <c r="X352" s="129"/>
      <c r="Y352" s="191"/>
      <c r="Z352" s="191"/>
      <c r="AA352" s="191"/>
      <c r="AB352" s="191"/>
      <c r="AC352" s="191"/>
      <c r="AD352" s="191"/>
      <c r="AE352" s="191"/>
      <c r="AF352" s="191"/>
    </row>
    <row r="353" spans="1:32" x14ac:dyDescent="0.2">
      <c r="A353" s="11">
        <v>173</v>
      </c>
      <c r="B353" s="11">
        <f>IF(Open[[#This Row],[PR Rang beim letzten Turnier]]&gt;Open[[#This Row],[PR Rang]],1,IF(Open[[#This Row],[PR Rang beim letzten Turnier]]=Open[[#This Row],[PR Rang]],0,-1))</f>
        <v>-1</v>
      </c>
      <c r="C353" s="147">
        <f>RANK(Open[[#This Row],[PR Punkte]],Open[PR Punkte],0)</f>
        <v>205</v>
      </c>
      <c r="D353" s="31" t="s">
        <v>89</v>
      </c>
      <c r="E353" s="9" t="s">
        <v>11</v>
      </c>
      <c r="F353" s="109">
        <f>SUM(Open[[#This Row],[PR 1]:[PR 3]])</f>
        <v>0</v>
      </c>
      <c r="G353" s="109">
        <f>LARGE(Open[[#This Row],[TS SH O 22.02.22]:[PR3]],1)</f>
        <v>0</v>
      </c>
      <c r="H353" s="109">
        <f>LARGE(Open[[#This Row],[TS SH O 22.02.22]:[PR3]],2)</f>
        <v>0</v>
      </c>
      <c r="I353" s="109">
        <f>LARGE(Open[[#This Row],[TS SH O 22.02.22]:[PR3]],3)</f>
        <v>0</v>
      </c>
      <c r="J353" s="9">
        <f>RANK(K353,$K$7:$K$361,0)</f>
        <v>205</v>
      </c>
      <c r="K353" s="109">
        <f>SUM(L353:W353)</f>
        <v>0</v>
      </c>
      <c r="L353" s="109" t="str">
        <f>IFERROR(VLOOKUP(Open[[#This Row],[TS SH 22.02.22 Rang]],$AJ$16:$AK$111,2,0)*L$5," ")</f>
        <v xml:space="preserve"> </v>
      </c>
      <c r="M353" s="109" t="str">
        <f>IFERROR(VLOOKUP(Open[[#This Row],[TS SH O 23.04.22 Rang]],$AJ$16:$AK$111,2,0)*M$5," ")</f>
        <v xml:space="preserve"> </v>
      </c>
      <c r="N353" s="109" t="str">
        <f>IFERROR(VLOOKUP(Open[[#This Row],[TS LA O 08.05.22 Rang]],$AJ$16:$AK$111,2,0)*N$5," ")</f>
        <v xml:space="preserve"> </v>
      </c>
      <c r="O353" s="109" t="str">
        <f>IFERROR(VLOOKUP(Open[[#This Row],[TS SG O 25.05.22 Rang]],$AJ$16:$AK$111,2,0)*O$5," ")</f>
        <v xml:space="preserve"> </v>
      </c>
      <c r="P353" s="109" t="str">
        <f>IFERROR(VLOOKUP(Open[[#This Row],[TS SH O 25.06.22 Rang]],$AJ$16:$AK$111,2,0)*P$5," ")</f>
        <v xml:space="preserve"> </v>
      </c>
      <c r="Q353" s="109" t="str">
        <f>IFERROR(VLOOKUP(Open[[#This Row],[TS ZH O/A 25.06.22 Rang]],$AJ$16:$AK$111,2,0)*Q$5," ")</f>
        <v xml:space="preserve"> </v>
      </c>
      <c r="R353" s="109" t="str">
        <f>IFERROR(VLOOKUP(Open[[#This Row],[TS ZH O/B 25.06.22 Rang]],$AJ$16:$AK$111,2,0)*R$5," ")</f>
        <v xml:space="preserve"> </v>
      </c>
      <c r="S353" s="109" t="str">
        <f>IFERROR(VLOOKUP(Open[[#This Row],[SM BE O/A 09.07.22 Rang]],$AJ$16:$AK$111,2,0)*S$5," ")</f>
        <v xml:space="preserve"> </v>
      </c>
      <c r="T353" s="109" t="str">
        <f>IFERROR(VLOOKUP(Open[[#This Row],[SM BE O/B 09.07.22 Rang]],$AJ$16:$AK$111,2,0)*T$5," ")</f>
        <v xml:space="preserve"> </v>
      </c>
      <c r="U353" s="11">
        <v>0</v>
      </c>
      <c r="V353" s="11">
        <v>0</v>
      </c>
      <c r="W353" s="11">
        <v>0</v>
      </c>
      <c r="X353" s="129"/>
      <c r="Y353" s="191"/>
      <c r="Z353" s="191"/>
      <c r="AA353" s="191"/>
      <c r="AB353" s="191"/>
      <c r="AC353" s="191"/>
      <c r="AD353" s="191"/>
      <c r="AE353" s="191"/>
      <c r="AF353" s="191"/>
    </row>
    <row r="354" spans="1:32" x14ac:dyDescent="0.2">
      <c r="A354" s="11">
        <v>173</v>
      </c>
      <c r="B354" s="11">
        <f>IF(Open[[#This Row],[PR Rang beim letzten Turnier]]&gt;Open[[#This Row],[PR Rang]],1,IF(Open[[#This Row],[PR Rang beim letzten Turnier]]=Open[[#This Row],[PR Rang]],0,-1))</f>
        <v>-1</v>
      </c>
      <c r="C354" s="147">
        <f>RANK(Open[[#This Row],[PR Punkte]],Open[PR Punkte],0)</f>
        <v>205</v>
      </c>
      <c r="D354" s="31" t="s">
        <v>90</v>
      </c>
      <c r="E354" s="9" t="s">
        <v>11</v>
      </c>
      <c r="F354" s="109">
        <f>SUM(Open[[#This Row],[PR 1]:[PR 3]])</f>
        <v>0</v>
      </c>
      <c r="G354" s="109">
        <f>LARGE(Open[[#This Row],[TS SH O 22.02.22]:[PR3]],1)</f>
        <v>0</v>
      </c>
      <c r="H354" s="109">
        <f>LARGE(Open[[#This Row],[TS SH O 22.02.22]:[PR3]],2)</f>
        <v>0</v>
      </c>
      <c r="I354" s="109">
        <f>LARGE(Open[[#This Row],[TS SH O 22.02.22]:[PR3]],3)</f>
        <v>0</v>
      </c>
      <c r="J354" s="9">
        <f>RANK(K354,$K$7:$K$361,0)</f>
        <v>205</v>
      </c>
      <c r="K354" s="109">
        <f>SUM(L354:W354)</f>
        <v>0</v>
      </c>
      <c r="L354" s="109" t="str">
        <f>IFERROR(VLOOKUP(Open[[#This Row],[TS SH 22.02.22 Rang]],$AJ$16:$AK$111,2,0)*L$5," ")</f>
        <v xml:space="preserve"> </v>
      </c>
      <c r="M354" s="109" t="str">
        <f>IFERROR(VLOOKUP(Open[[#This Row],[TS SH O 23.04.22 Rang]],$AJ$16:$AK$111,2,0)*M$5," ")</f>
        <v xml:space="preserve"> </v>
      </c>
      <c r="N354" s="109" t="str">
        <f>IFERROR(VLOOKUP(Open[[#This Row],[TS LA O 08.05.22 Rang]],$AJ$16:$AK$111,2,0)*N$5," ")</f>
        <v xml:space="preserve"> </v>
      </c>
      <c r="O354" s="109" t="str">
        <f>IFERROR(VLOOKUP(Open[[#This Row],[TS SG O 25.05.22 Rang]],$AJ$16:$AK$111,2,0)*O$5," ")</f>
        <v xml:space="preserve"> </v>
      </c>
      <c r="P354" s="109" t="str">
        <f>IFERROR(VLOOKUP(Open[[#This Row],[TS SH O 25.06.22 Rang]],$AJ$16:$AK$111,2,0)*P$5," ")</f>
        <v xml:space="preserve"> </v>
      </c>
      <c r="Q354" s="109" t="str">
        <f>IFERROR(VLOOKUP(Open[[#This Row],[TS ZH O/A 25.06.22 Rang]],$AJ$16:$AK$111,2,0)*Q$5," ")</f>
        <v xml:space="preserve"> </v>
      </c>
      <c r="R354" s="109" t="str">
        <f>IFERROR(VLOOKUP(Open[[#This Row],[TS ZH O/B 25.06.22 Rang]],$AJ$16:$AK$111,2,0)*R$5," ")</f>
        <v xml:space="preserve"> </v>
      </c>
      <c r="S354" s="109" t="str">
        <f>IFERROR(VLOOKUP(Open[[#This Row],[SM BE O/A 09.07.22 Rang]],$AJ$16:$AK$111,2,0)*S$5," ")</f>
        <v xml:space="preserve"> </v>
      </c>
      <c r="T354" s="109" t="str">
        <f>IFERROR(VLOOKUP(Open[[#This Row],[SM BE O/B 09.07.22 Rang]],$AJ$16:$AK$111,2,0)*T$5," ")</f>
        <v xml:space="preserve"> </v>
      </c>
      <c r="U354" s="11">
        <v>0</v>
      </c>
      <c r="V354" s="11">
        <v>0</v>
      </c>
      <c r="W354" s="11">
        <v>0</v>
      </c>
      <c r="X354" s="129"/>
      <c r="Y354" s="191"/>
      <c r="Z354" s="191"/>
      <c r="AA354" s="191"/>
      <c r="AB354" s="191"/>
      <c r="AC354" s="191"/>
      <c r="AD354" s="191"/>
      <c r="AE354" s="191"/>
      <c r="AF354" s="191"/>
    </row>
    <row r="355" spans="1:32" x14ac:dyDescent="0.2">
      <c r="A355" s="11">
        <v>173</v>
      </c>
      <c r="B355" s="11">
        <f>IF(Open[[#This Row],[PR Rang beim letzten Turnier]]&gt;Open[[#This Row],[PR Rang]],1,IF(Open[[#This Row],[PR Rang beim letzten Turnier]]=Open[[#This Row],[PR Rang]],0,-1))</f>
        <v>-1</v>
      </c>
      <c r="C355" s="147">
        <f>RANK(Open[[#This Row],[PR Punkte]],Open[PR Punkte],0)</f>
        <v>205</v>
      </c>
      <c r="D355" s="31" t="s">
        <v>97</v>
      </c>
      <c r="E355" s="9" t="s">
        <v>11</v>
      </c>
      <c r="F355" s="109">
        <f>SUM(Open[[#This Row],[PR 1]:[PR 3]])</f>
        <v>0</v>
      </c>
      <c r="G355" s="109">
        <f>LARGE(Open[[#This Row],[TS SH O 22.02.22]:[PR3]],1)</f>
        <v>0</v>
      </c>
      <c r="H355" s="109">
        <f>LARGE(Open[[#This Row],[TS SH O 22.02.22]:[PR3]],2)</f>
        <v>0</v>
      </c>
      <c r="I355" s="109">
        <f>LARGE(Open[[#This Row],[TS SH O 22.02.22]:[PR3]],3)</f>
        <v>0</v>
      </c>
      <c r="J355" s="9">
        <f>RANK(K355,$K$7:$K$361,0)</f>
        <v>205</v>
      </c>
      <c r="K355" s="109">
        <f>SUM(L355:W355)</f>
        <v>0</v>
      </c>
      <c r="L355" s="109" t="str">
        <f>IFERROR(VLOOKUP(Open[[#This Row],[TS SH 22.02.22 Rang]],$AJ$16:$AK$111,2,0)*L$5," ")</f>
        <v xml:space="preserve"> </v>
      </c>
      <c r="M355" s="109" t="str">
        <f>IFERROR(VLOOKUP(Open[[#This Row],[TS SH O 23.04.22 Rang]],$AJ$16:$AK$111,2,0)*M$5," ")</f>
        <v xml:space="preserve"> </v>
      </c>
      <c r="N355" s="109" t="str">
        <f>IFERROR(VLOOKUP(Open[[#This Row],[TS LA O 08.05.22 Rang]],$AJ$16:$AK$111,2,0)*N$5," ")</f>
        <v xml:space="preserve"> </v>
      </c>
      <c r="O355" s="109" t="str">
        <f>IFERROR(VLOOKUP(Open[[#This Row],[TS SG O 25.05.22 Rang]],$AJ$16:$AK$111,2,0)*O$5," ")</f>
        <v xml:space="preserve"> </v>
      </c>
      <c r="P355" s="109" t="str">
        <f>IFERROR(VLOOKUP(Open[[#This Row],[TS SH O 25.06.22 Rang]],$AJ$16:$AK$111,2,0)*P$5," ")</f>
        <v xml:space="preserve"> </v>
      </c>
      <c r="Q355" s="109" t="str">
        <f>IFERROR(VLOOKUP(Open[[#This Row],[TS ZH O/A 25.06.22 Rang]],$AJ$16:$AK$111,2,0)*Q$5," ")</f>
        <v xml:space="preserve"> </v>
      </c>
      <c r="R355" s="109" t="str">
        <f>IFERROR(VLOOKUP(Open[[#This Row],[TS ZH O/B 25.06.22 Rang]],$AJ$16:$AK$111,2,0)*R$5," ")</f>
        <v xml:space="preserve"> </v>
      </c>
      <c r="S355" s="109" t="str">
        <f>IFERROR(VLOOKUP(Open[[#This Row],[SM BE O/A 09.07.22 Rang]],$AJ$16:$AK$111,2,0)*S$5," ")</f>
        <v xml:space="preserve"> </v>
      </c>
      <c r="T355" s="109" t="str">
        <f>IFERROR(VLOOKUP(Open[[#This Row],[SM BE O/B 09.07.22 Rang]],$AJ$16:$AK$111,2,0)*T$5," ")</f>
        <v xml:space="preserve"> </v>
      </c>
      <c r="U355" s="11">
        <v>0</v>
      </c>
      <c r="V355" s="11">
        <v>0</v>
      </c>
      <c r="W355" s="11">
        <v>0</v>
      </c>
      <c r="X355" s="129"/>
      <c r="Y355" s="191"/>
      <c r="Z355" s="191"/>
      <c r="AA355" s="191"/>
      <c r="AB355" s="191"/>
      <c r="AC355" s="191"/>
      <c r="AD355" s="191"/>
      <c r="AE355" s="191"/>
      <c r="AF355" s="191"/>
    </row>
    <row r="356" spans="1:32" x14ac:dyDescent="0.2">
      <c r="A356" s="11">
        <v>173</v>
      </c>
      <c r="B356" s="11">
        <f>IF(Open[[#This Row],[PR Rang beim letzten Turnier]]&gt;Open[[#This Row],[PR Rang]],1,IF(Open[[#This Row],[PR Rang beim letzten Turnier]]=Open[[#This Row],[PR Rang]],0,-1))</f>
        <v>-1</v>
      </c>
      <c r="C356" s="147">
        <f>RANK(Open[[#This Row],[PR Punkte]],Open[PR Punkte],0)</f>
        <v>205</v>
      </c>
      <c r="D356" s="31" t="s">
        <v>102</v>
      </c>
      <c r="E356" s="11" t="s">
        <v>11</v>
      </c>
      <c r="F356" s="109">
        <f>SUM(Open[[#This Row],[PR 1]:[PR 3]])</f>
        <v>0</v>
      </c>
      <c r="G356" s="109">
        <f>LARGE(Open[[#This Row],[TS SH O 22.02.22]:[PR3]],1)</f>
        <v>0</v>
      </c>
      <c r="H356" s="109">
        <f>LARGE(Open[[#This Row],[TS SH O 22.02.22]:[PR3]],2)</f>
        <v>0</v>
      </c>
      <c r="I356" s="109">
        <f>LARGE(Open[[#This Row],[TS SH O 22.02.22]:[PR3]],3)</f>
        <v>0</v>
      </c>
      <c r="J356" s="9">
        <f>RANK(K356,$K$7:$K$361,0)</f>
        <v>205</v>
      </c>
      <c r="K356" s="109">
        <f>SUM(L356:W356)</f>
        <v>0</v>
      </c>
      <c r="L356" s="109" t="str">
        <f>IFERROR(VLOOKUP(Open[[#This Row],[TS SH 22.02.22 Rang]],$AJ$16:$AK$111,2,0)*L$5," ")</f>
        <v xml:space="preserve"> </v>
      </c>
      <c r="M356" s="109" t="str">
        <f>IFERROR(VLOOKUP(Open[[#This Row],[TS SH O 23.04.22 Rang]],$AJ$16:$AK$111,2,0)*M$5," ")</f>
        <v xml:space="preserve"> </v>
      </c>
      <c r="N356" s="109" t="str">
        <f>IFERROR(VLOOKUP(Open[[#This Row],[TS LA O 08.05.22 Rang]],$AJ$16:$AK$111,2,0)*N$5," ")</f>
        <v xml:space="preserve"> </v>
      </c>
      <c r="O356" s="109" t="str">
        <f>IFERROR(VLOOKUP(Open[[#This Row],[TS SG O 25.05.22 Rang]],$AJ$16:$AK$111,2,0)*O$5," ")</f>
        <v xml:space="preserve"> </v>
      </c>
      <c r="P356" s="109" t="str">
        <f>IFERROR(VLOOKUP(Open[[#This Row],[TS SH O 25.06.22 Rang]],$AJ$16:$AK$111,2,0)*P$5," ")</f>
        <v xml:space="preserve"> </v>
      </c>
      <c r="Q356" s="109" t="str">
        <f>IFERROR(VLOOKUP(Open[[#This Row],[TS ZH O/A 25.06.22 Rang]],$AJ$16:$AK$111,2,0)*Q$5," ")</f>
        <v xml:space="preserve"> </v>
      </c>
      <c r="R356" s="109" t="str">
        <f>IFERROR(VLOOKUP(Open[[#This Row],[TS ZH O/B 25.06.22 Rang]],$AJ$16:$AK$111,2,0)*R$5," ")</f>
        <v xml:space="preserve"> </v>
      </c>
      <c r="S356" s="109" t="str">
        <f>IFERROR(VLOOKUP(Open[[#This Row],[SM BE O/A 09.07.22 Rang]],$AJ$16:$AK$111,2,0)*S$5," ")</f>
        <v xml:space="preserve"> </v>
      </c>
      <c r="T356" s="109" t="str">
        <f>IFERROR(VLOOKUP(Open[[#This Row],[SM BE O/B 09.07.22 Rang]],$AJ$16:$AK$111,2,0)*T$5," ")</f>
        <v xml:space="preserve"> </v>
      </c>
      <c r="U356" s="11">
        <v>0</v>
      </c>
      <c r="V356" s="11">
        <v>0</v>
      </c>
      <c r="W356" s="11">
        <v>0</v>
      </c>
      <c r="X356" s="129"/>
      <c r="Y356" s="191"/>
      <c r="Z356" s="191"/>
      <c r="AA356" s="191"/>
      <c r="AB356" s="191"/>
      <c r="AC356" s="191"/>
      <c r="AD356" s="191"/>
      <c r="AE356" s="191"/>
      <c r="AF356" s="191"/>
    </row>
    <row r="357" spans="1:32" x14ac:dyDescent="0.2">
      <c r="A357" s="11">
        <v>173</v>
      </c>
      <c r="B357" s="11">
        <f>IF(Open[[#This Row],[PR Rang beim letzten Turnier]]&gt;Open[[#This Row],[PR Rang]],1,IF(Open[[#This Row],[PR Rang beim letzten Turnier]]=Open[[#This Row],[PR Rang]],0,-1))</f>
        <v>-1</v>
      </c>
      <c r="C357" s="147">
        <f>RANK(Open[[#This Row],[PR Punkte]],Open[PR Punkte],0)</f>
        <v>205</v>
      </c>
      <c r="D357" s="31" t="s">
        <v>70</v>
      </c>
      <c r="E357" s="11" t="s">
        <v>11</v>
      </c>
      <c r="F357" s="109">
        <f>SUM(Open[[#This Row],[PR 1]:[PR 3]])</f>
        <v>0</v>
      </c>
      <c r="G357" s="109">
        <f>LARGE(Open[[#This Row],[TS SH O 22.02.22]:[PR3]],1)</f>
        <v>0</v>
      </c>
      <c r="H357" s="109">
        <f>LARGE(Open[[#This Row],[TS SH O 22.02.22]:[PR3]],2)</f>
        <v>0</v>
      </c>
      <c r="I357" s="109">
        <f>LARGE(Open[[#This Row],[TS SH O 22.02.22]:[PR3]],3)</f>
        <v>0</v>
      </c>
      <c r="J357" s="9">
        <f>RANK(K357,$K$7:$K$361,0)</f>
        <v>205</v>
      </c>
      <c r="K357" s="109">
        <f>SUM(L357:W357)</f>
        <v>0</v>
      </c>
      <c r="L357" s="109" t="str">
        <f>IFERROR(VLOOKUP(Open[[#This Row],[TS SH 22.02.22 Rang]],$AJ$16:$AK$111,2,0)*L$5," ")</f>
        <v xml:space="preserve"> </v>
      </c>
      <c r="M357" s="109" t="str">
        <f>IFERROR(VLOOKUP(Open[[#This Row],[TS SH O 23.04.22 Rang]],$AJ$16:$AK$111,2,0)*M$5," ")</f>
        <v xml:space="preserve"> </v>
      </c>
      <c r="N357" s="109" t="str">
        <f>IFERROR(VLOOKUP(Open[[#This Row],[TS LA O 08.05.22 Rang]],$AJ$16:$AK$111,2,0)*N$5," ")</f>
        <v xml:space="preserve"> </v>
      </c>
      <c r="O357" s="109" t="str">
        <f>IFERROR(VLOOKUP(Open[[#This Row],[TS SG O 25.05.22 Rang]],$AJ$16:$AK$111,2,0)*O$5," ")</f>
        <v xml:space="preserve"> </v>
      </c>
      <c r="P357" s="109" t="str">
        <f>IFERROR(VLOOKUP(Open[[#This Row],[TS SH O 25.06.22 Rang]],$AJ$16:$AK$111,2,0)*P$5," ")</f>
        <v xml:space="preserve"> </v>
      </c>
      <c r="Q357" s="109" t="str">
        <f>IFERROR(VLOOKUP(Open[[#This Row],[TS ZH O/A 25.06.22 Rang]],$AJ$16:$AK$111,2,0)*Q$5," ")</f>
        <v xml:space="preserve"> </v>
      </c>
      <c r="R357" s="109" t="str">
        <f>IFERROR(VLOOKUP(Open[[#This Row],[TS ZH O/B 25.06.22 Rang]],$AJ$16:$AK$111,2,0)*R$5," ")</f>
        <v xml:space="preserve"> </v>
      </c>
      <c r="S357" s="109" t="str">
        <f>IFERROR(VLOOKUP(Open[[#This Row],[SM BE O/A 09.07.22 Rang]],$AJ$16:$AK$111,2,0)*S$5," ")</f>
        <v xml:space="preserve"> </v>
      </c>
      <c r="T357" s="109" t="str">
        <f>IFERROR(VLOOKUP(Open[[#This Row],[SM BE O/B 09.07.22 Rang]],$AJ$16:$AK$111,2,0)*T$5," ")</f>
        <v xml:space="preserve"> </v>
      </c>
      <c r="U357" s="11">
        <v>0</v>
      </c>
      <c r="V357" s="11">
        <v>0</v>
      </c>
      <c r="W357" s="11">
        <v>0</v>
      </c>
      <c r="X357" s="129"/>
      <c r="Y357" s="191"/>
      <c r="Z357" s="191"/>
      <c r="AA357" s="191"/>
      <c r="AB357" s="191"/>
      <c r="AC357" s="191"/>
      <c r="AD357" s="191"/>
      <c r="AE357" s="191"/>
      <c r="AF357" s="191"/>
    </row>
    <row r="358" spans="1:32" x14ac:dyDescent="0.2">
      <c r="A358" s="11">
        <v>173</v>
      </c>
      <c r="B358" s="11">
        <f>IF(Open[[#This Row],[PR Rang beim letzten Turnier]]&gt;Open[[#This Row],[PR Rang]],1,IF(Open[[#This Row],[PR Rang beim letzten Turnier]]=Open[[#This Row],[PR Rang]],0,-1))</f>
        <v>-1</v>
      </c>
      <c r="C358" s="147">
        <f>RANK(Open[[#This Row],[PR Punkte]],Open[PR Punkte],0)</f>
        <v>205</v>
      </c>
      <c r="D358" s="31" t="s">
        <v>71</v>
      </c>
      <c r="E358" s="9" t="s">
        <v>11</v>
      </c>
      <c r="F358" s="109">
        <f>SUM(Open[[#This Row],[PR 1]:[PR 3]])</f>
        <v>0</v>
      </c>
      <c r="G358" s="109">
        <f>LARGE(Open[[#This Row],[TS SH O 22.02.22]:[PR3]],1)</f>
        <v>0</v>
      </c>
      <c r="H358" s="109">
        <f>LARGE(Open[[#This Row],[TS SH O 22.02.22]:[PR3]],2)</f>
        <v>0</v>
      </c>
      <c r="I358" s="109">
        <f>LARGE(Open[[#This Row],[TS SH O 22.02.22]:[PR3]],3)</f>
        <v>0</v>
      </c>
      <c r="J358" s="9">
        <f>RANK(K358,$K$7:$K$361,0)</f>
        <v>205</v>
      </c>
      <c r="K358" s="109">
        <f>SUM(L358:W358)</f>
        <v>0</v>
      </c>
      <c r="L358" s="109" t="str">
        <f>IFERROR(VLOOKUP(Open[[#This Row],[TS SH 22.02.22 Rang]],$AJ$16:$AK$111,2,0)*L$5," ")</f>
        <v xml:space="preserve"> </v>
      </c>
      <c r="M358" s="109" t="str">
        <f>IFERROR(VLOOKUP(Open[[#This Row],[TS SH O 23.04.22 Rang]],$AJ$16:$AK$111,2,0)*M$5," ")</f>
        <v xml:space="preserve"> </v>
      </c>
      <c r="N358" s="109" t="str">
        <f>IFERROR(VLOOKUP(Open[[#This Row],[TS LA O 08.05.22 Rang]],$AJ$16:$AK$111,2,0)*N$5," ")</f>
        <v xml:space="preserve"> </v>
      </c>
      <c r="O358" s="109" t="str">
        <f>IFERROR(VLOOKUP(Open[[#This Row],[TS SG O 25.05.22 Rang]],$AJ$16:$AK$111,2,0)*O$5," ")</f>
        <v xml:space="preserve"> </v>
      </c>
      <c r="P358" s="109" t="str">
        <f>IFERROR(VLOOKUP(Open[[#This Row],[TS SH O 25.06.22 Rang]],$AJ$16:$AK$111,2,0)*P$5," ")</f>
        <v xml:space="preserve"> </v>
      </c>
      <c r="Q358" s="109" t="str">
        <f>IFERROR(VLOOKUP(Open[[#This Row],[TS ZH O/A 25.06.22 Rang]],$AJ$16:$AK$111,2,0)*Q$5," ")</f>
        <v xml:space="preserve"> </v>
      </c>
      <c r="R358" s="109" t="str">
        <f>IFERROR(VLOOKUP(Open[[#This Row],[TS ZH O/B 25.06.22 Rang]],$AJ$16:$AK$111,2,0)*R$5," ")</f>
        <v xml:space="preserve"> </v>
      </c>
      <c r="S358" s="109" t="str">
        <f>IFERROR(VLOOKUP(Open[[#This Row],[SM BE O/A 09.07.22 Rang]],$AJ$16:$AK$111,2,0)*S$5," ")</f>
        <v xml:space="preserve"> </v>
      </c>
      <c r="T358" s="109" t="str">
        <f>IFERROR(VLOOKUP(Open[[#This Row],[SM BE O/B 09.07.22 Rang]],$AJ$16:$AK$111,2,0)*T$5," ")</f>
        <v xml:space="preserve"> </v>
      </c>
      <c r="U358" s="11">
        <v>0</v>
      </c>
      <c r="V358" s="11">
        <v>0</v>
      </c>
      <c r="W358" s="11">
        <v>0</v>
      </c>
      <c r="X358" s="129"/>
      <c r="Y358" s="191"/>
      <c r="Z358" s="191"/>
      <c r="AA358" s="191"/>
      <c r="AB358" s="191"/>
      <c r="AC358" s="191"/>
      <c r="AD358" s="191"/>
      <c r="AE358" s="191"/>
      <c r="AF358" s="191"/>
    </row>
    <row r="359" spans="1:32" x14ac:dyDescent="0.2">
      <c r="A359" s="11">
        <v>173</v>
      </c>
      <c r="B359" s="11">
        <f>IF(Open[[#This Row],[PR Rang beim letzten Turnier]]&gt;Open[[#This Row],[PR Rang]],1,IF(Open[[#This Row],[PR Rang beim letzten Turnier]]=Open[[#This Row],[PR Rang]],0,-1))</f>
        <v>-1</v>
      </c>
      <c r="C359" s="147">
        <f>RANK(Open[[#This Row],[PR Punkte]],Open[PR Punkte],0)</f>
        <v>205</v>
      </c>
      <c r="D359" s="31" t="s">
        <v>72</v>
      </c>
      <c r="E359" s="9" t="s">
        <v>11</v>
      </c>
      <c r="F359" s="109">
        <f>SUM(Open[[#This Row],[PR 1]:[PR 3]])</f>
        <v>0</v>
      </c>
      <c r="G359" s="109">
        <f>LARGE(Open[[#This Row],[TS SH O 22.02.22]:[PR3]],1)</f>
        <v>0</v>
      </c>
      <c r="H359" s="109">
        <f>LARGE(Open[[#This Row],[TS SH O 22.02.22]:[PR3]],2)</f>
        <v>0</v>
      </c>
      <c r="I359" s="109">
        <f>LARGE(Open[[#This Row],[TS SH O 22.02.22]:[PR3]],3)</f>
        <v>0</v>
      </c>
      <c r="J359" s="9">
        <f>RANK(K359,$K$7:$K$361,0)</f>
        <v>205</v>
      </c>
      <c r="K359" s="109">
        <f>SUM(L359:W359)</f>
        <v>0</v>
      </c>
      <c r="L359" s="109" t="str">
        <f>IFERROR(VLOOKUP(Open[[#This Row],[TS SH 22.02.22 Rang]],$AJ$16:$AK$111,2,0)*L$5," ")</f>
        <v xml:space="preserve"> </v>
      </c>
      <c r="M359" s="109" t="str">
        <f>IFERROR(VLOOKUP(Open[[#This Row],[TS SH O 23.04.22 Rang]],$AJ$16:$AK$111,2,0)*M$5," ")</f>
        <v xml:space="preserve"> </v>
      </c>
      <c r="N359" s="109" t="str">
        <f>IFERROR(VLOOKUP(Open[[#This Row],[TS LA O 08.05.22 Rang]],$AJ$16:$AK$111,2,0)*N$5," ")</f>
        <v xml:space="preserve"> </v>
      </c>
      <c r="O359" s="109" t="str">
        <f>IFERROR(VLOOKUP(Open[[#This Row],[TS SG O 25.05.22 Rang]],$AJ$16:$AK$111,2,0)*O$5," ")</f>
        <v xml:space="preserve"> </v>
      </c>
      <c r="P359" s="109" t="str">
        <f>IFERROR(VLOOKUP(Open[[#This Row],[TS SH O 25.06.22 Rang]],$AJ$16:$AK$111,2,0)*P$5," ")</f>
        <v xml:space="preserve"> </v>
      </c>
      <c r="Q359" s="109" t="str">
        <f>IFERROR(VLOOKUP(Open[[#This Row],[TS ZH O/A 25.06.22 Rang]],$AJ$16:$AK$111,2,0)*Q$5," ")</f>
        <v xml:space="preserve"> </v>
      </c>
      <c r="R359" s="109" t="str">
        <f>IFERROR(VLOOKUP(Open[[#This Row],[TS ZH O/B 25.06.22 Rang]],$AJ$16:$AK$111,2,0)*R$5," ")</f>
        <v xml:space="preserve"> </v>
      </c>
      <c r="S359" s="109" t="str">
        <f>IFERROR(VLOOKUP(Open[[#This Row],[SM BE O/A 09.07.22 Rang]],$AJ$16:$AK$111,2,0)*S$5," ")</f>
        <v xml:space="preserve"> </v>
      </c>
      <c r="T359" s="109" t="str">
        <f>IFERROR(VLOOKUP(Open[[#This Row],[SM BE O/B 09.07.22 Rang]],$AJ$16:$AK$111,2,0)*T$5," ")</f>
        <v xml:space="preserve"> </v>
      </c>
      <c r="U359" s="11">
        <v>0</v>
      </c>
      <c r="V359" s="11">
        <v>0</v>
      </c>
      <c r="W359" s="11">
        <v>0</v>
      </c>
      <c r="X359" s="129"/>
      <c r="Y359" s="191"/>
      <c r="Z359" s="191"/>
      <c r="AA359" s="191"/>
      <c r="AB359" s="191"/>
      <c r="AC359" s="191"/>
      <c r="AD359" s="191"/>
      <c r="AE359" s="191"/>
      <c r="AF359" s="191"/>
    </row>
    <row r="360" spans="1:32" x14ac:dyDescent="0.2">
      <c r="A360" s="11">
        <v>173</v>
      </c>
      <c r="B360" s="11">
        <f>IF(Open[[#This Row],[PR Rang beim letzten Turnier]]&gt;Open[[#This Row],[PR Rang]],1,IF(Open[[#This Row],[PR Rang beim letzten Turnier]]=Open[[#This Row],[PR Rang]],0,-1))</f>
        <v>-1</v>
      </c>
      <c r="C360" s="147">
        <f>RANK(Open[[#This Row],[PR Punkte]],Open[PR Punkte],0)</f>
        <v>205</v>
      </c>
      <c r="D360" s="31" t="s">
        <v>91</v>
      </c>
      <c r="E360" s="9" t="s">
        <v>11</v>
      </c>
      <c r="F360" s="109">
        <f>SUM(Open[[#This Row],[PR 1]:[PR 3]])</f>
        <v>0</v>
      </c>
      <c r="G360" s="109">
        <f>LARGE(Open[[#This Row],[TS SH O 22.02.22]:[PR3]],1)</f>
        <v>0</v>
      </c>
      <c r="H360" s="109">
        <f>LARGE(Open[[#This Row],[TS SH O 22.02.22]:[PR3]],2)</f>
        <v>0</v>
      </c>
      <c r="I360" s="109">
        <f>LARGE(Open[[#This Row],[TS SH O 22.02.22]:[PR3]],3)</f>
        <v>0</v>
      </c>
      <c r="J360" s="9">
        <f>RANK(K360,$K$7:$K$361,0)</f>
        <v>205</v>
      </c>
      <c r="K360" s="109">
        <f>SUM(L360:W360)</f>
        <v>0</v>
      </c>
      <c r="L360" s="109" t="str">
        <f>IFERROR(VLOOKUP(Open[[#This Row],[TS SH 22.02.22 Rang]],$AJ$16:$AK$111,2,0)*L$5," ")</f>
        <v xml:space="preserve"> </v>
      </c>
      <c r="M360" s="109" t="str">
        <f>IFERROR(VLOOKUP(Open[[#This Row],[TS SH O 23.04.22 Rang]],$AJ$16:$AK$111,2,0)*M$5," ")</f>
        <v xml:space="preserve"> </v>
      </c>
      <c r="N360" s="109" t="str">
        <f>IFERROR(VLOOKUP(Open[[#This Row],[TS LA O 08.05.22 Rang]],$AJ$16:$AK$111,2,0)*N$5," ")</f>
        <v xml:space="preserve"> </v>
      </c>
      <c r="O360" s="109" t="str">
        <f>IFERROR(VLOOKUP(Open[[#This Row],[TS SG O 25.05.22 Rang]],$AJ$16:$AK$111,2,0)*O$5," ")</f>
        <v xml:space="preserve"> </v>
      </c>
      <c r="P360" s="109" t="str">
        <f>IFERROR(VLOOKUP(Open[[#This Row],[TS SH O 25.06.22 Rang]],$AJ$16:$AK$111,2,0)*P$5," ")</f>
        <v xml:space="preserve"> </v>
      </c>
      <c r="Q360" s="109" t="str">
        <f>IFERROR(VLOOKUP(Open[[#This Row],[TS ZH O/A 25.06.22 Rang]],$AJ$16:$AK$111,2,0)*Q$5," ")</f>
        <v xml:space="preserve"> </v>
      </c>
      <c r="R360" s="109" t="str">
        <f>IFERROR(VLOOKUP(Open[[#This Row],[TS ZH O/B 25.06.22 Rang]],$AJ$16:$AK$111,2,0)*R$5," ")</f>
        <v xml:space="preserve"> </v>
      </c>
      <c r="S360" s="109" t="str">
        <f>IFERROR(VLOOKUP(Open[[#This Row],[SM BE O/A 09.07.22 Rang]],$AJ$16:$AK$111,2,0)*S$5," ")</f>
        <v xml:space="preserve"> </v>
      </c>
      <c r="T360" s="109" t="str">
        <f>IFERROR(VLOOKUP(Open[[#This Row],[SM BE O/B 09.07.22 Rang]],$AJ$16:$AK$111,2,0)*T$5," ")</f>
        <v xml:space="preserve"> </v>
      </c>
      <c r="U360" s="11">
        <v>0</v>
      </c>
      <c r="V360" s="11">
        <v>0</v>
      </c>
      <c r="W360" s="11">
        <v>0</v>
      </c>
      <c r="X360" s="129"/>
      <c r="Y360" s="191"/>
      <c r="Z360" s="191"/>
      <c r="AA360" s="191"/>
      <c r="AB360" s="191"/>
      <c r="AC360" s="191"/>
      <c r="AD360" s="191"/>
      <c r="AE360" s="191"/>
      <c r="AF360" s="191"/>
    </row>
    <row r="361" spans="1:32" x14ac:dyDescent="0.2">
      <c r="A361" s="11">
        <v>173</v>
      </c>
      <c r="B361" s="11">
        <f>IF(Open[[#This Row],[PR Rang beim letzten Turnier]]&gt;Open[[#This Row],[PR Rang]],1,IF(Open[[#This Row],[PR Rang beim letzten Turnier]]=Open[[#This Row],[PR Rang]],0,-1))</f>
        <v>-1</v>
      </c>
      <c r="C361" s="147">
        <f>RANK(Open[[#This Row],[PR Punkte]],Open[PR Punkte],0)</f>
        <v>205</v>
      </c>
      <c r="D361" s="31" t="s">
        <v>73</v>
      </c>
      <c r="E361" s="9" t="s">
        <v>11</v>
      </c>
      <c r="F361" s="109">
        <f>SUM(Open[[#This Row],[PR 1]:[PR 3]])</f>
        <v>0</v>
      </c>
      <c r="G361" s="109">
        <f>LARGE(Open[[#This Row],[TS SH O 22.02.22]:[PR3]],1)</f>
        <v>0</v>
      </c>
      <c r="H361" s="109">
        <f>LARGE(Open[[#This Row],[TS SH O 22.02.22]:[PR3]],2)</f>
        <v>0</v>
      </c>
      <c r="I361" s="109">
        <f>LARGE(Open[[#This Row],[TS SH O 22.02.22]:[PR3]],3)</f>
        <v>0</v>
      </c>
      <c r="J361" s="9">
        <f>RANK(K361,$K$7:$K$361,0)</f>
        <v>205</v>
      </c>
      <c r="K361" s="109">
        <f>SUM(L361:W361)</f>
        <v>0</v>
      </c>
      <c r="L361" s="109" t="str">
        <f>IFERROR(VLOOKUP(Open[[#This Row],[TS SH 22.02.22 Rang]],$AJ$16:$AK$111,2,0)*L$5," ")</f>
        <v xml:space="preserve"> </v>
      </c>
      <c r="M361" s="109" t="str">
        <f>IFERROR(VLOOKUP(Open[[#This Row],[TS SH O 23.04.22 Rang]],$AJ$16:$AK$111,2,0)*M$5," ")</f>
        <v xml:space="preserve"> </v>
      </c>
      <c r="N361" s="109" t="str">
        <f>IFERROR(VLOOKUP(Open[[#This Row],[TS LA O 08.05.22 Rang]],$AJ$16:$AK$111,2,0)*N$5," ")</f>
        <v xml:space="preserve"> </v>
      </c>
      <c r="O361" s="109" t="str">
        <f>IFERROR(VLOOKUP(Open[[#This Row],[TS SG O 25.05.22 Rang]],$AJ$16:$AK$111,2,0)*O$5," ")</f>
        <v xml:space="preserve"> </v>
      </c>
      <c r="P361" s="109" t="str">
        <f>IFERROR(VLOOKUP(Open[[#This Row],[TS SH O 25.06.22 Rang]],$AJ$16:$AK$111,2,0)*P$5," ")</f>
        <v xml:space="preserve"> </v>
      </c>
      <c r="Q361" s="109" t="str">
        <f>IFERROR(VLOOKUP(Open[[#This Row],[TS ZH O/A 25.06.22 Rang]],$AJ$16:$AK$111,2,0)*Q$5," ")</f>
        <v xml:space="preserve"> </v>
      </c>
      <c r="R361" s="109" t="str">
        <f>IFERROR(VLOOKUP(Open[[#This Row],[TS ZH O/B 25.06.22 Rang]],$AJ$16:$AK$111,2,0)*R$5," ")</f>
        <v xml:space="preserve"> </v>
      </c>
      <c r="S361" s="109" t="str">
        <f>IFERROR(VLOOKUP(Open[[#This Row],[SM BE O/A 09.07.22 Rang]],$AJ$16:$AK$111,2,0)*S$5," ")</f>
        <v xml:space="preserve"> </v>
      </c>
      <c r="T361" s="109" t="str">
        <f>IFERROR(VLOOKUP(Open[[#This Row],[SM BE O/B 09.07.22 Rang]],$AJ$16:$AK$111,2,0)*T$5," ")</f>
        <v xml:space="preserve"> </v>
      </c>
      <c r="U361" s="11">
        <v>0</v>
      </c>
      <c r="V361" s="11">
        <v>0</v>
      </c>
      <c r="W361" s="11">
        <v>0</v>
      </c>
      <c r="X361" s="129"/>
      <c r="Y361" s="191"/>
      <c r="Z361" s="191"/>
      <c r="AA361" s="191"/>
      <c r="AB361" s="191"/>
      <c r="AC361" s="191"/>
      <c r="AD361" s="191"/>
      <c r="AE361" s="191"/>
      <c r="AF361" s="191"/>
    </row>
  </sheetData>
  <mergeCells count="7">
    <mergeCell ref="AM16:AS16"/>
    <mergeCell ref="AJ15:AK15"/>
    <mergeCell ref="A3:K5"/>
    <mergeCell ref="A1:F2"/>
    <mergeCell ref="J1:K2"/>
    <mergeCell ref="L1:W2"/>
    <mergeCell ref="X1:AB2"/>
  </mergeCells>
  <phoneticPr fontId="11" type="noConversion"/>
  <conditionalFormatting sqref="D9">
    <cfRule type="duplicateValues" dxfId="132" priority="34"/>
  </conditionalFormatting>
  <conditionalFormatting sqref="D11">
    <cfRule type="duplicateValues" dxfId="131" priority="33"/>
  </conditionalFormatting>
  <conditionalFormatting sqref="D13">
    <cfRule type="duplicateValues" dxfId="130" priority="32"/>
  </conditionalFormatting>
  <conditionalFormatting sqref="D14">
    <cfRule type="duplicateValues" dxfId="129" priority="31"/>
  </conditionalFormatting>
  <conditionalFormatting sqref="D16">
    <cfRule type="duplicateValues" dxfId="128" priority="30"/>
  </conditionalFormatting>
  <conditionalFormatting sqref="D18">
    <cfRule type="duplicateValues" dxfId="127" priority="29"/>
  </conditionalFormatting>
  <conditionalFormatting sqref="D20">
    <cfRule type="duplicateValues" dxfId="126" priority="28"/>
  </conditionalFormatting>
  <conditionalFormatting sqref="D22">
    <cfRule type="duplicateValues" dxfId="125" priority="27"/>
  </conditionalFormatting>
  <conditionalFormatting sqref="D24">
    <cfRule type="duplicateValues" dxfId="124" priority="26"/>
  </conditionalFormatting>
  <conditionalFormatting sqref="D26">
    <cfRule type="duplicateValues" dxfId="123" priority="25"/>
  </conditionalFormatting>
  <conditionalFormatting sqref="D28">
    <cfRule type="duplicateValues" dxfId="122" priority="24"/>
  </conditionalFormatting>
  <conditionalFormatting sqref="D30">
    <cfRule type="duplicateValues" dxfId="121" priority="23"/>
  </conditionalFormatting>
  <conditionalFormatting sqref="D32">
    <cfRule type="duplicateValues" dxfId="120" priority="22"/>
  </conditionalFormatting>
  <conditionalFormatting sqref="D34">
    <cfRule type="duplicateValues" dxfId="119" priority="21"/>
  </conditionalFormatting>
  <conditionalFormatting sqref="D38">
    <cfRule type="duplicateValues" dxfId="118" priority="19"/>
  </conditionalFormatting>
  <conditionalFormatting sqref="D40">
    <cfRule type="duplicateValues" dxfId="117" priority="18"/>
  </conditionalFormatting>
  <conditionalFormatting sqref="D42">
    <cfRule type="duplicateValues" dxfId="116" priority="17"/>
  </conditionalFormatting>
  <conditionalFormatting sqref="D44">
    <cfRule type="duplicateValues" dxfId="115" priority="16"/>
  </conditionalFormatting>
  <conditionalFormatting sqref="D46">
    <cfRule type="duplicateValues" dxfId="114" priority="15"/>
  </conditionalFormatting>
  <conditionalFormatting sqref="D48">
    <cfRule type="duplicateValues" dxfId="113" priority="14"/>
  </conditionalFormatting>
  <conditionalFormatting sqref="D51">
    <cfRule type="duplicateValues" dxfId="112" priority="13"/>
  </conditionalFormatting>
  <conditionalFormatting sqref="D53">
    <cfRule type="duplicateValues" dxfId="111" priority="12"/>
  </conditionalFormatting>
  <conditionalFormatting sqref="D55">
    <cfRule type="duplicateValues" dxfId="110" priority="11"/>
  </conditionalFormatting>
  <conditionalFormatting sqref="D57">
    <cfRule type="duplicateValues" dxfId="109" priority="10"/>
  </conditionalFormatting>
  <conditionalFormatting sqref="D59">
    <cfRule type="duplicateValues" dxfId="108" priority="9"/>
  </conditionalFormatting>
  <conditionalFormatting sqref="D61">
    <cfRule type="duplicateValues" dxfId="107" priority="8"/>
  </conditionalFormatting>
  <conditionalFormatting sqref="D62">
    <cfRule type="duplicateValues" dxfId="106" priority="7"/>
  </conditionalFormatting>
  <conditionalFormatting sqref="D168:D173 D116:D156">
    <cfRule type="expression" dxfId="105" priority="35">
      <formula>VLOOKUP(#REF!,$A$7:$K$196,3,0)&gt;0</formula>
    </cfRule>
  </conditionalFormatting>
  <conditionalFormatting sqref="D175:D185 D187:D210">
    <cfRule type="expression" dxfId="104" priority="36">
      <formula>VLOOKUP(#REF!,$A$7:$K$636,3,0)&gt;0</formula>
    </cfRule>
  </conditionalFormatting>
  <conditionalFormatting sqref="D222:D233">
    <cfRule type="expression" dxfId="103" priority="37">
      <formula>VLOOKUP(#REF!,$A$7:$K$221,3,0)&gt;0</formula>
    </cfRule>
  </conditionalFormatting>
  <conditionalFormatting sqref="J6 E298:F320 E362:J1048576 E6:E302 F321:F328 E329:F361 J8:J361">
    <cfRule type="containsText" dxfId="102" priority="3" operator="containsText" text="International">
      <formula>NOT(ISERROR(SEARCH("International",E6)))</formula>
    </cfRule>
  </conditionalFormatting>
  <conditionalFormatting sqref="D175:D185 D187:D210">
    <cfRule type="expression" dxfId="101" priority="38">
      <formula>VLOOKUP(#REF!,#REF!,3,0)&gt;0</formula>
    </cfRule>
  </conditionalFormatting>
  <conditionalFormatting sqref="D168:D173">
    <cfRule type="expression" dxfId="100" priority="39">
      <formula>VLOOKUP(#REF!,#REF!,3,0)&gt;0</formula>
    </cfRule>
  </conditionalFormatting>
  <conditionalFormatting sqref="D342:D344 D1:D320 D362:D1048576">
    <cfRule type="duplicateValues" dxfId="99" priority="1"/>
  </conditionalFormatting>
  <pageMargins left="0.7" right="0.7" top="0.78740157499999996" bottom="0.78740157499999996" header="0.3" footer="0.3"/>
  <pageSetup paperSize="9" scale="12" orientation="landscape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1" id="{558B5299-CED8-904C-8E01-1B5DB049B36F}">
            <x14:iconSet iconSet="3Triangle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B7:B495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O108"/>
  <sheetViews>
    <sheetView zoomScale="111" zoomScaleNormal="70" workbookViewId="0">
      <pane xSplit="4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D18" sqref="D7:D18"/>
    </sheetView>
  </sheetViews>
  <sheetFormatPr baseColWidth="10" defaultColWidth="10.83203125" defaultRowHeight="16" x14ac:dyDescent="0.2"/>
  <cols>
    <col min="1" max="1" width="10.6640625" style="11" hidden="1" customWidth="1"/>
    <col min="2" max="2" width="2.83203125" style="11" customWidth="1"/>
    <col min="3" max="3" width="10.6640625" style="4" customWidth="1"/>
    <col min="4" max="4" width="23.5" style="4" bestFit="1" customWidth="1"/>
    <col min="5" max="5" width="12.1640625" style="4" bestFit="1" customWidth="1"/>
    <col min="6" max="6" width="13.33203125" style="4" bestFit="1" customWidth="1"/>
    <col min="7" max="9" width="7.83203125" style="4" bestFit="1" customWidth="1"/>
    <col min="10" max="10" width="10.6640625" style="4" bestFit="1" customWidth="1"/>
    <col min="11" max="11" width="12.83203125" style="4" customWidth="1"/>
    <col min="12" max="24" width="8.83203125" style="16" customWidth="1"/>
    <col min="25" max="26" width="5.6640625" style="16" hidden="1" customWidth="1"/>
    <col min="27" max="27" width="6.33203125" style="16" hidden="1" customWidth="1"/>
    <col min="28" max="40" width="8.83203125" style="16" customWidth="1"/>
    <col min="41" max="58" width="11.83203125" style="16" customWidth="1"/>
    <col min="59" max="60" width="10.83203125" style="16"/>
    <col min="61" max="61" width="15.83203125" style="16" bestFit="1" customWidth="1"/>
    <col min="62" max="62" width="15.33203125" style="16" bestFit="1" customWidth="1"/>
    <col min="63" max="65" width="10.83203125" style="16"/>
    <col min="66" max="66" width="15.83203125" style="16" bestFit="1" customWidth="1"/>
    <col min="67" max="16384" width="10.83203125" style="16"/>
  </cols>
  <sheetData>
    <row r="1" spans="1:67" s="4" customFormat="1" ht="26" customHeight="1" x14ac:dyDescent="0.3">
      <c r="A1" s="293" t="s">
        <v>447</v>
      </c>
      <c r="B1" s="293"/>
      <c r="C1" s="293"/>
      <c r="D1" s="297"/>
      <c r="E1" s="297"/>
      <c r="F1" s="297"/>
      <c r="G1" s="297"/>
      <c r="H1" s="297"/>
      <c r="I1" s="297"/>
      <c r="J1" s="294" t="s">
        <v>446</v>
      </c>
      <c r="K1" s="298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6"/>
      <c r="AC1" s="296"/>
      <c r="AD1" s="296"/>
      <c r="AE1" s="296"/>
      <c r="AF1" s="296"/>
      <c r="AG1" s="234"/>
      <c r="AH1" s="234"/>
      <c r="AI1" s="249"/>
      <c r="AJ1" s="249"/>
      <c r="AK1" s="255"/>
      <c r="AL1" s="270"/>
      <c r="AM1" s="272"/>
      <c r="AN1" s="270"/>
      <c r="AO1" s="16"/>
      <c r="AP1" s="16"/>
      <c r="AQ1" s="16"/>
      <c r="AR1" s="16"/>
      <c r="AS1" s="16"/>
      <c r="AT1" s="16"/>
      <c r="AU1" s="16"/>
      <c r="AV1" s="16"/>
      <c r="AW1" s="16"/>
    </row>
    <row r="2" spans="1:67" s="4" customFormat="1" ht="26" customHeight="1" x14ac:dyDescent="0.3">
      <c r="A2" s="297"/>
      <c r="B2" s="297"/>
      <c r="C2" s="297"/>
      <c r="D2" s="297"/>
      <c r="E2" s="297"/>
      <c r="F2" s="297"/>
      <c r="G2" s="297"/>
      <c r="H2" s="297"/>
      <c r="I2" s="297"/>
      <c r="J2" s="298"/>
      <c r="K2" s="298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6"/>
      <c r="AC2" s="296"/>
      <c r="AD2" s="296"/>
      <c r="AE2" s="296"/>
      <c r="AF2" s="296"/>
      <c r="AG2" s="234"/>
      <c r="AH2" s="234"/>
      <c r="AI2" s="249"/>
      <c r="AJ2" s="249"/>
      <c r="AK2" s="255"/>
      <c r="AL2" s="270"/>
      <c r="AM2" s="272"/>
      <c r="AN2" s="270"/>
      <c r="AO2" s="16"/>
      <c r="AP2" s="16"/>
      <c r="AQ2" s="16"/>
      <c r="AR2" s="16"/>
      <c r="AS2" s="16"/>
      <c r="AT2" s="16"/>
      <c r="AU2" s="16"/>
      <c r="AV2" s="16"/>
      <c r="AW2" s="16"/>
    </row>
    <row r="3" spans="1:67" s="4" customFormat="1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87"/>
      <c r="M3" s="219"/>
      <c r="N3" s="219"/>
      <c r="O3" s="219"/>
      <c r="P3" s="235"/>
      <c r="Q3" s="235"/>
      <c r="R3" s="235"/>
      <c r="S3" s="250"/>
      <c r="T3" s="250"/>
      <c r="U3" s="256"/>
      <c r="V3" s="271"/>
      <c r="W3" s="273"/>
      <c r="X3" s="271"/>
      <c r="Y3" s="87"/>
      <c r="Z3" s="87"/>
      <c r="AA3" s="87"/>
      <c r="AB3" s="87"/>
      <c r="AC3" s="87"/>
      <c r="AD3" s="176"/>
      <c r="AE3" s="182"/>
      <c r="AF3" s="204"/>
      <c r="AG3" s="235"/>
      <c r="AH3" s="235"/>
      <c r="AI3" s="250"/>
      <c r="AJ3" s="250"/>
      <c r="AK3" s="256"/>
      <c r="AL3" s="271"/>
      <c r="AM3" s="273"/>
      <c r="AN3" s="271"/>
      <c r="AO3" s="16"/>
      <c r="AP3" s="16"/>
      <c r="AQ3" s="16"/>
      <c r="AR3" s="16"/>
      <c r="AS3" s="16"/>
      <c r="AT3" s="16"/>
      <c r="AU3" s="16"/>
      <c r="AV3" s="16"/>
      <c r="AW3" s="16"/>
    </row>
    <row r="4" spans="1:67" s="4" customFormat="1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141" t="s">
        <v>114</v>
      </c>
      <c r="M4" s="87"/>
      <c r="N4" s="176"/>
      <c r="O4" s="141" t="s">
        <v>114</v>
      </c>
      <c r="P4" s="209"/>
      <c r="Q4" s="141" t="s">
        <v>114</v>
      </c>
      <c r="R4" s="235"/>
      <c r="S4" s="141" t="s">
        <v>114</v>
      </c>
      <c r="T4" s="250"/>
      <c r="U4" s="256"/>
      <c r="V4" s="141" t="s">
        <v>642</v>
      </c>
      <c r="W4" s="141" t="s">
        <v>643</v>
      </c>
      <c r="X4" s="271"/>
      <c r="Y4" s="87"/>
      <c r="Z4" s="87"/>
      <c r="AA4" s="87"/>
      <c r="AB4" s="144" t="s">
        <v>114</v>
      </c>
      <c r="AC4" s="87"/>
      <c r="AD4" s="176"/>
      <c r="AE4" s="142" t="s">
        <v>114</v>
      </c>
      <c r="AF4" s="204"/>
      <c r="AG4" s="142" t="s">
        <v>114</v>
      </c>
      <c r="AH4" s="235"/>
      <c r="AI4" s="142" t="s">
        <v>114</v>
      </c>
      <c r="AJ4" s="250"/>
      <c r="AK4" s="256"/>
      <c r="AL4" s="142" t="s">
        <v>642</v>
      </c>
      <c r="AM4" s="142" t="s">
        <v>643</v>
      </c>
      <c r="AN4" s="271"/>
      <c r="AO4" s="16"/>
      <c r="AP4" s="16"/>
      <c r="AQ4" s="16"/>
      <c r="AR4" s="16"/>
      <c r="AS4" s="16"/>
      <c r="AT4" s="16"/>
      <c r="AU4" s="16"/>
      <c r="AV4" s="16"/>
      <c r="AW4" s="16"/>
    </row>
    <row r="5" spans="1:67" s="4" customForma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141">
        <v>1.88</v>
      </c>
      <c r="M5" s="223">
        <v>1.52</v>
      </c>
      <c r="N5" s="223">
        <v>1.72</v>
      </c>
      <c r="O5" s="226">
        <v>1.54</v>
      </c>
      <c r="P5" s="190">
        <v>1.48</v>
      </c>
      <c r="Q5" s="141">
        <v>1.48</v>
      </c>
      <c r="R5" s="235">
        <v>1.54</v>
      </c>
      <c r="S5" s="141">
        <v>1.48</v>
      </c>
      <c r="T5" s="250">
        <v>1.52</v>
      </c>
      <c r="U5" s="271">
        <v>1.3</v>
      </c>
      <c r="V5" s="141">
        <v>2.08</v>
      </c>
      <c r="W5" s="141">
        <v>0.1</v>
      </c>
      <c r="X5" s="271">
        <v>1.76</v>
      </c>
      <c r="Y5" s="87"/>
      <c r="Z5" s="87"/>
      <c r="AA5" s="87"/>
      <c r="AB5" s="145"/>
      <c r="AC5" s="116">
        <f>1+4*$AY$17+2*$AY$18+0*$AY$19</f>
        <v>1.52</v>
      </c>
      <c r="AD5" s="116">
        <f>1+4*$AY$17+4*$AY$18+2*$AY$19</f>
        <v>1.72</v>
      </c>
      <c r="AE5" s="145"/>
      <c r="AF5" s="116">
        <f>1+3*$AY$17+3*$AY$18+0*$AY$19</f>
        <v>1.48</v>
      </c>
      <c r="AG5" s="145"/>
      <c r="AH5" s="116">
        <f>1+2*$AY$17+5*$AY$18+1*$AY$19</f>
        <v>1.54</v>
      </c>
      <c r="AI5" s="145"/>
      <c r="AJ5" s="248">
        <f>1+4*$AY$17+2*$AY$18+0*$AY$19</f>
        <v>1.52</v>
      </c>
      <c r="AK5" s="248">
        <f>1+2*$AY$17+1*$AY$18+1*$AY$19</f>
        <v>1.3</v>
      </c>
      <c r="AL5" s="281"/>
      <c r="AM5" s="281"/>
      <c r="AN5" s="248">
        <f>1+5*$AY$17+3*$AY$18+2*$AY$19</f>
        <v>1.76</v>
      </c>
      <c r="AO5" s="16"/>
      <c r="AP5" s="16"/>
      <c r="AQ5" s="16"/>
      <c r="AR5" s="16"/>
      <c r="AS5" s="16"/>
      <c r="AT5" s="16"/>
      <c r="AU5" s="16"/>
      <c r="AV5" s="16"/>
      <c r="AW5" s="16"/>
    </row>
    <row r="6" spans="1:67" s="4" customFormat="1" x14ac:dyDescent="0.2">
      <c r="A6" s="180" t="s">
        <v>478</v>
      </c>
      <c r="B6" s="180" t="s">
        <v>477</v>
      </c>
      <c r="C6" s="111" t="s">
        <v>393</v>
      </c>
      <c r="D6" s="111" t="s">
        <v>459</v>
      </c>
      <c r="E6" s="111" t="s">
        <v>4</v>
      </c>
      <c r="F6" s="111" t="s">
        <v>460</v>
      </c>
      <c r="G6" s="111" t="s">
        <v>390</v>
      </c>
      <c r="H6" s="111" t="s">
        <v>391</v>
      </c>
      <c r="I6" s="111" t="s">
        <v>392</v>
      </c>
      <c r="J6" s="118" t="s">
        <v>438</v>
      </c>
      <c r="K6" s="118" t="s">
        <v>461</v>
      </c>
      <c r="L6" s="141" t="s">
        <v>431</v>
      </c>
      <c r="M6" s="115" t="s">
        <v>430</v>
      </c>
      <c r="N6" s="115" t="s">
        <v>467</v>
      </c>
      <c r="O6" s="141" t="s">
        <v>534</v>
      </c>
      <c r="P6" s="205" t="s">
        <v>536</v>
      </c>
      <c r="Q6" s="141" t="s">
        <v>570</v>
      </c>
      <c r="R6" s="205" t="s">
        <v>568</v>
      </c>
      <c r="S6" s="141" t="s">
        <v>585</v>
      </c>
      <c r="T6" s="205" t="s">
        <v>600</v>
      </c>
      <c r="U6" s="205" t="s">
        <v>625</v>
      </c>
      <c r="V6" s="141" t="s">
        <v>623</v>
      </c>
      <c r="W6" s="141" t="s">
        <v>644</v>
      </c>
      <c r="X6" s="205" t="s">
        <v>626</v>
      </c>
      <c r="Y6" s="115" t="s">
        <v>530</v>
      </c>
      <c r="Z6" s="115" t="s">
        <v>427</v>
      </c>
      <c r="AA6" s="115" t="s">
        <v>428</v>
      </c>
      <c r="AB6" s="131" t="s">
        <v>539</v>
      </c>
      <c r="AC6" s="146" t="s">
        <v>540</v>
      </c>
      <c r="AD6" s="146" t="s">
        <v>541</v>
      </c>
      <c r="AE6" s="199" t="s">
        <v>537</v>
      </c>
      <c r="AF6" s="210" t="s">
        <v>538</v>
      </c>
      <c r="AG6" s="199" t="s">
        <v>569</v>
      </c>
      <c r="AH6" s="237" t="s">
        <v>567</v>
      </c>
      <c r="AI6" s="199" t="s">
        <v>586</v>
      </c>
      <c r="AJ6" s="210" t="s">
        <v>641</v>
      </c>
      <c r="AK6" s="210" t="s">
        <v>621</v>
      </c>
      <c r="AL6" s="199" t="s">
        <v>624</v>
      </c>
      <c r="AM6" s="199" t="s">
        <v>640</v>
      </c>
      <c r="AN6" s="210" t="s">
        <v>627</v>
      </c>
      <c r="AO6" s="16"/>
      <c r="AP6" s="16"/>
      <c r="AQ6" s="16"/>
      <c r="AR6" s="16"/>
      <c r="AS6" s="16"/>
      <c r="AT6" s="16"/>
      <c r="AU6" s="16"/>
      <c r="AV6" s="16"/>
      <c r="AW6" s="16"/>
    </row>
    <row r="7" spans="1:67" s="4" customFormat="1" x14ac:dyDescent="0.2">
      <c r="A7" s="112">
        <v>1</v>
      </c>
      <c r="B7" s="179">
        <f>IF(Women[[#This Row],[PR Rang beim letzten Turnier]]&gt;Women[[#This Row],[PR Rang]],1,IF(Women[[#This Row],[PR Rang]]=Women[[#This Row],[PR Rang beim letzten Turnier]],0,-1))</f>
        <v>0</v>
      </c>
      <c r="C7" s="112">
        <f>RANK(Women[[#This Row],[PR Punkte]],Women[PR Punkte],0)</f>
        <v>1</v>
      </c>
      <c r="D7" s="17" t="s">
        <v>154</v>
      </c>
      <c r="E7" s="9" t="s">
        <v>13</v>
      </c>
      <c r="F7" s="177">
        <f>SUM(Women[[#This Row],[PR 1]:[PR 3]])</f>
        <v>3288.8</v>
      </c>
      <c r="G7" s="109">
        <f>LARGE(Women[[#This Row],[TS SH O 22.02.22]:[PR3]],1)</f>
        <v>1872</v>
      </c>
      <c r="H7" s="109">
        <f>LARGE(Women[[#This Row],[TS SH O 22.02.22]:[PR3]],2)</f>
        <v>1078</v>
      </c>
      <c r="I7" s="109">
        <f>LARGE(Women[[#This Row],[TS SH O 22.02.22]:[PR3]],3)</f>
        <v>338.8</v>
      </c>
      <c r="J7" s="11">
        <f>RANK(K7,$K$7:$K$108,0)</f>
        <v>1</v>
      </c>
      <c r="K7" s="109">
        <f>SUM(L7:AA7)</f>
        <v>3288.8</v>
      </c>
      <c r="L7" s="128" t="str">
        <f>IFERROR(VLOOKUP(Women[[#This Row],[TS SH O 22.02.22 Rang]],$AU$15:$AV$72,2,0)*L$5," ")</f>
        <v xml:space="preserve"> </v>
      </c>
      <c r="M7" s="109" t="str">
        <f>IFERROR(VLOOKUP(Women[[#This Row],[TS SH W 22.02.22 Rang]],$AR$15:$AS$72,2,0)*M$5," ")</f>
        <v xml:space="preserve"> </v>
      </c>
      <c r="N7" s="109" t="str">
        <f>IFERROR(VLOOKUP(Women[[#This Row],[TS LU W 12.03.22 Rang]],$AR$15:$AS$72,2,0)*N$5," ")</f>
        <v xml:space="preserve"> </v>
      </c>
      <c r="O7" s="128">
        <f>IFERROR(VLOOKUP(Women[[#This Row],[TS SH O 23.04.22 Rang]],$AU$15:$AV$72,2,0)*O$5," ")</f>
        <v>1078</v>
      </c>
      <c r="P7" s="109" t="str">
        <f>IFERROR(VLOOKUP(Women[[#This Row],[TS LA W 08.05.22 Rang]],$AR$15:$AS$72,2,0)*P$5," ")</f>
        <v xml:space="preserve"> </v>
      </c>
      <c r="Q7" s="128" t="str">
        <f>IFERROR(VLOOKUP(Women[[#This Row],[TS SG O 25.05.22 Rang]],$AU$15:$AV$72,2,0)*Q$5," ")</f>
        <v xml:space="preserve"> </v>
      </c>
      <c r="R7" s="109">
        <f>IFERROR(VLOOKUP(Women[[#This Row],[TS SG W 25.05.22 Rang]],$AR$15:$AS$72,2,0)*R$5," ")</f>
        <v>338.8</v>
      </c>
      <c r="S7" s="128" t="str">
        <f>IFERROR(VLOOKUP(Women[[#This Row],[TS SH O 25.06.22 Rang]],$AU$15:$AV$72,2,0)*$S$5," ")</f>
        <v xml:space="preserve"> </v>
      </c>
      <c r="T7" s="109" t="str">
        <f>IFERROR(VLOOKUP(Women[[#This Row],[TS SH W 25.06.22 Rang]],$AR$15:$AS$72,2,0)*T$5," ")</f>
        <v xml:space="preserve"> </v>
      </c>
      <c r="U7" s="109" t="str">
        <f>IFERROR(VLOOKUP(Women[[#This Row],[TS ZH W 02.07.22 Rang]],$AR$15:$AS$72,2,0)*U$5," ")</f>
        <v xml:space="preserve"> </v>
      </c>
      <c r="V7" s="128">
        <f>IFERROR(VLOOKUP(Women[[#This Row],[SM BE O/A 09.07.22 Rang]],$AU$15:$AV$72,2,0)*V5," ")</f>
        <v>1872</v>
      </c>
      <c r="W7" s="128" t="str">
        <f>IFERROR(VLOOKUP(Women[[#This Row],[SM BE O/B 09.07.22 Rang]],$AU$15:$AV$72,2,0)*$W$5," ")</f>
        <v xml:space="preserve"> </v>
      </c>
      <c r="X7" s="109" t="str">
        <f>IFERROR(VLOOKUP(Women[[#This Row],[SM BE W 09.07.22 Rang]],$AR$15:$AS$72,2,0)*X$5," ")</f>
        <v xml:space="preserve"> </v>
      </c>
      <c r="Y7" s="11">
        <v>0</v>
      </c>
      <c r="Z7" s="11">
        <v>0</v>
      </c>
      <c r="AA7" s="11">
        <v>0</v>
      </c>
      <c r="AB7" s="131"/>
      <c r="AC7" s="129"/>
      <c r="AD7" s="129"/>
      <c r="AE7" s="131">
        <v>3</v>
      </c>
      <c r="AF7" s="129"/>
      <c r="AG7" s="131"/>
      <c r="AH7" s="60">
        <v>1</v>
      </c>
      <c r="AI7" s="131"/>
      <c r="AJ7" s="129"/>
      <c r="AK7" s="129"/>
      <c r="AL7" s="131">
        <v>2</v>
      </c>
      <c r="AM7" s="131"/>
      <c r="AN7" s="129"/>
      <c r="AO7" s="16"/>
      <c r="AP7" s="16"/>
      <c r="AQ7" s="16"/>
      <c r="AR7" s="16"/>
      <c r="AS7" s="16"/>
      <c r="AT7" s="16"/>
      <c r="AU7" s="16"/>
      <c r="AV7" s="16"/>
      <c r="AW7" s="16"/>
    </row>
    <row r="8" spans="1:67" s="4" customFormat="1" x14ac:dyDescent="0.2">
      <c r="A8" s="112">
        <v>2</v>
      </c>
      <c r="B8" s="17">
        <f>IF(Women[[#This Row],[PR Rang beim letzten Turnier]]&gt;Women[[#This Row],[PR Rang]],1,IF(Women[[#This Row],[PR Rang]]=Women[[#This Row],[PR Rang beim letzten Turnier]],0,-1))</f>
        <v>0</v>
      </c>
      <c r="C8" s="112">
        <f>RANK(Women[[#This Row],[PR Punkte]],Women[PR Punkte],0)</f>
        <v>2</v>
      </c>
      <c r="D8" s="17" t="s">
        <v>26</v>
      </c>
      <c r="E8" s="11" t="s">
        <v>0</v>
      </c>
      <c r="F8" s="177">
        <f>SUM(Women[[#This Row],[PR 1]:[PR 3]])</f>
        <v>1100</v>
      </c>
      <c r="G8" s="109">
        <f>LARGE(Women[[#This Row],[TS SH O 22.02.22]:[PR3]],1)</f>
        <v>387.2</v>
      </c>
      <c r="H8" s="109">
        <f>LARGE(Women[[#This Row],[TS SH O 22.02.22]:[PR3]],2)</f>
        <v>378.4</v>
      </c>
      <c r="I8" s="109">
        <f>LARGE(Women[[#This Row],[TS SH O 22.02.22]:[PR3]],3)</f>
        <v>334.4</v>
      </c>
      <c r="J8" s="11">
        <f>RANK(K8,$K$7:$K$108,0)</f>
        <v>2</v>
      </c>
      <c r="K8" s="109">
        <f>SUM(L8:AA8)</f>
        <v>1760.0000000000002</v>
      </c>
      <c r="L8" s="128" t="str">
        <f>IFERROR(VLOOKUP(Women[[#This Row],[TS SH O 22.02.22 Rang]],$AU$15:$AV$72,2,0)*L$5," ")</f>
        <v xml:space="preserve"> </v>
      </c>
      <c r="M8" s="109">
        <f>IFERROR(VLOOKUP(Women[[#This Row],[TS SH W 22.02.22 Rang]],$AR$15:$AS$72,2,0)*M$5," ")</f>
        <v>334.4</v>
      </c>
      <c r="N8" s="109">
        <f>IFERROR(VLOOKUP(Women[[#This Row],[TS LU W 12.03.22 Rang]],$AR$15:$AS$72,2,0)*N$5," ")</f>
        <v>378.4</v>
      </c>
      <c r="O8" s="128" t="str">
        <f>IFERROR(VLOOKUP(Women[[#This Row],[TS SH O 23.04.22 Rang]],$AU$15:$AV$72,2,0)*O$5," ")</f>
        <v xml:space="preserve"> </v>
      </c>
      <c r="P8" s="177">
        <f>IFERROR(VLOOKUP(Women[[#This Row],[TS LA W 08.05.22 Rang]],$AR$15:$AS$72,2,0)*P$5," ")</f>
        <v>325.60000000000002</v>
      </c>
      <c r="Q8" s="128" t="str">
        <f>IFERROR(VLOOKUP(Women[[#This Row],[TS SG O 25.05.22 Rang]],$AU$15:$AV$72,2,0)*Q$5," ")</f>
        <v xml:space="preserve"> </v>
      </c>
      <c r="R8" s="177" t="str">
        <f>IFERROR(VLOOKUP(Women[[#This Row],[TS SG W 25.05.22 Rang]],$AR$15:$AS$72,2,0)*R$5," ")</f>
        <v xml:space="preserve"> </v>
      </c>
      <c r="S8" s="128" t="str">
        <f>IFERROR(VLOOKUP(Women[[#This Row],[TS SH O 25.06.22 Rang]],$AU$15:$AV$72,2,0)*$S$5," ")</f>
        <v xml:space="preserve"> </v>
      </c>
      <c r="T8" s="177">
        <f>IFERROR(VLOOKUP(Women[[#This Row],[TS SH W 25.06.22 Rang]],$AR$15:$AS$72,2,0)*T$5," ")</f>
        <v>334.4</v>
      </c>
      <c r="U8" s="177" t="str">
        <f>IFERROR(VLOOKUP(Women[[#This Row],[TS ZH W 02.07.22 Rang]],$AR$15:$AS$72,2,0)*U$5," ")</f>
        <v xml:space="preserve"> </v>
      </c>
      <c r="V8" s="128" t="str">
        <f>IFERROR(VLOOKUP(Women[[#This Row],[SM BE O/A 09.07.22 Rang]],$AU$15:$AV$72,2,0)*V6," ")</f>
        <v xml:space="preserve"> </v>
      </c>
      <c r="W8" s="128" t="str">
        <f>IFERROR(VLOOKUP(Women[[#This Row],[SM BE O/B 09.07.22 Rang]],$AU$15:$AV$72,2,0)*$W$5," ")</f>
        <v xml:space="preserve"> </v>
      </c>
      <c r="X8" s="177">
        <f>IFERROR(VLOOKUP(Women[[#This Row],[SM BE W 09.07.22 Rang]],$AR$15:$AS$72,2,0)*X$5," ")</f>
        <v>387.2</v>
      </c>
      <c r="Y8" s="11">
        <v>0</v>
      </c>
      <c r="Z8" s="11">
        <v>0</v>
      </c>
      <c r="AA8" s="11">
        <v>0</v>
      </c>
      <c r="AB8" s="131"/>
      <c r="AC8" s="60">
        <v>1</v>
      </c>
      <c r="AD8" s="60">
        <v>1</v>
      </c>
      <c r="AE8" s="131"/>
      <c r="AF8" s="60">
        <v>1</v>
      </c>
      <c r="AG8" s="131"/>
      <c r="AH8" s="129"/>
      <c r="AI8" s="131"/>
      <c r="AJ8" s="60">
        <v>1</v>
      </c>
      <c r="AK8" s="129"/>
      <c r="AL8" s="131"/>
      <c r="AM8" s="131"/>
      <c r="AN8" s="60">
        <v>1</v>
      </c>
      <c r="AO8" s="16"/>
      <c r="AP8" s="16"/>
      <c r="AQ8" s="16"/>
      <c r="AR8" s="16"/>
      <c r="AS8" s="16"/>
      <c r="AT8" s="16"/>
      <c r="AU8" s="16"/>
      <c r="AV8" s="16"/>
      <c r="AW8" s="16"/>
    </row>
    <row r="9" spans="1:67" s="4" customFormat="1" x14ac:dyDescent="0.2">
      <c r="A9" s="112">
        <v>5</v>
      </c>
      <c r="B9" s="17">
        <f>IF(Women[[#This Row],[PR Rang beim letzten Turnier]]&gt;Women[[#This Row],[PR Rang]],1,IF(Women[[#This Row],[PR Rang]]=Women[[#This Row],[PR Rang beim letzten Turnier]],0,-1))</f>
        <v>1</v>
      </c>
      <c r="C9" s="112">
        <f>RANK(Women[[#This Row],[PR Punkte]],Women[PR Punkte],0)</f>
        <v>3</v>
      </c>
      <c r="D9" s="17" t="s">
        <v>27</v>
      </c>
      <c r="E9" s="9" t="s">
        <v>0</v>
      </c>
      <c r="F9" s="177">
        <f>SUM(Women[[#This Row],[PR 1]:[PR 3]])</f>
        <v>978.2</v>
      </c>
      <c r="G9" s="109">
        <f>LARGE(Women[[#This Row],[TS SH O 22.02.22]:[PR3]],1)</f>
        <v>334.4</v>
      </c>
      <c r="H9" s="109">
        <f>LARGE(Women[[#This Row],[TS SH O 22.02.22]:[PR3]],2)</f>
        <v>325.60000000000002</v>
      </c>
      <c r="I9" s="109">
        <f>LARGE(Women[[#This Row],[TS SH O 22.02.22]:[PR3]],3)</f>
        <v>318.2</v>
      </c>
      <c r="J9" s="9">
        <f>RANK(K9,$K$7:$K$108,0)</f>
        <v>4</v>
      </c>
      <c r="K9" s="109">
        <f>SUM(L9:AA9)</f>
        <v>1687</v>
      </c>
      <c r="L9" s="128" t="str">
        <f>IFERROR(VLOOKUP(Women[[#This Row],[TS SH O 22.02.22 Rang]],$AU$15:$AV$72,2,0)*L$5," ")</f>
        <v xml:space="preserve"> </v>
      </c>
      <c r="M9" s="109" t="str">
        <f>IFERROR(VLOOKUP(Women[[#This Row],[TS SH W 22.02.22 Rang]],$AR$15:$AS$72,2,0)*M$5," ")</f>
        <v xml:space="preserve"> </v>
      </c>
      <c r="N9" s="109">
        <f>IFERROR(VLOOKUP(Women[[#This Row],[TS LU W 12.03.22 Rang]],$AR$15:$AS$72,2,0)*N$5," ")</f>
        <v>318.2</v>
      </c>
      <c r="O9" s="128" t="str">
        <f>IFERROR(VLOOKUP(Women[[#This Row],[TS SH O 23.04.22 Rang]],$AU$15:$AV$72,2,0)*O$5," ")</f>
        <v xml:space="preserve"> </v>
      </c>
      <c r="P9" s="177">
        <f>IFERROR(VLOOKUP(Women[[#This Row],[TS LA W 08.05.22 Rang]],$AR$15:$AS$72,2,0)*P$5," ")</f>
        <v>207.2</v>
      </c>
      <c r="Q9" s="128" t="str">
        <f>IFERROR(VLOOKUP(Women[[#This Row],[TS SG O 25.05.22 Rang]],$AU$15:$AV$72,2,0)*Q$5," ")</f>
        <v xml:space="preserve"> </v>
      </c>
      <c r="R9" s="177">
        <f>IFERROR(VLOOKUP(Women[[#This Row],[TS SG W 25.05.22 Rang]],$AR$15:$AS$72,2,0)*R$5," ")</f>
        <v>215.6</v>
      </c>
      <c r="S9" s="128" t="str">
        <f>IFERROR(VLOOKUP(Women[[#This Row],[TS SH O 25.06.22 Rang]],$AU$15:$AV$72,2,0)*$S$5," ")</f>
        <v xml:space="preserve"> </v>
      </c>
      <c r="T9" s="177">
        <f>IFERROR(VLOOKUP(Women[[#This Row],[TS SH W 25.06.22 Rang]],$AR$15:$AS$72,2,0)*T$5," ")</f>
        <v>334.4</v>
      </c>
      <c r="U9" s="177">
        <f>IFERROR(VLOOKUP(Women[[#This Row],[TS ZH W 02.07.22 Rang]],$AR$15:$AS$72,2,0)*U$5," ")</f>
        <v>286</v>
      </c>
      <c r="V9" s="128" t="str">
        <f>IFERROR(VLOOKUP(Women[[#This Row],[SM BE O/A 09.07.22 Rang]],$AU$15:$AV$72,2,0)*V7," ")</f>
        <v xml:space="preserve"> </v>
      </c>
      <c r="W9" s="128" t="str">
        <f>IFERROR(VLOOKUP(Women[[#This Row],[SM BE O/B 09.07.22 Rang]],$AU$15:$AV$72,2,0)*$W$5," ")</f>
        <v xml:space="preserve"> </v>
      </c>
      <c r="X9" s="177">
        <f>IFERROR(VLOOKUP(Women[[#This Row],[SM BE W 09.07.22 Rang]],$AR$15:$AS$72,2,0)*X$5," ")</f>
        <v>325.60000000000002</v>
      </c>
      <c r="Y9" s="11">
        <v>0</v>
      </c>
      <c r="Z9" s="11">
        <v>0</v>
      </c>
      <c r="AA9" s="11">
        <v>0</v>
      </c>
      <c r="AB9" s="131"/>
      <c r="AC9" s="129"/>
      <c r="AD9" s="60">
        <v>2</v>
      </c>
      <c r="AE9" s="131"/>
      <c r="AF9" s="60">
        <v>3</v>
      </c>
      <c r="AG9" s="131"/>
      <c r="AH9" s="61">
        <v>3</v>
      </c>
      <c r="AI9" s="131"/>
      <c r="AJ9" s="60">
        <v>1</v>
      </c>
      <c r="AK9" s="60">
        <v>1</v>
      </c>
      <c r="AL9" s="131"/>
      <c r="AM9" s="131"/>
      <c r="AN9" s="60">
        <v>2</v>
      </c>
      <c r="AO9" s="16"/>
      <c r="AP9" s="16"/>
      <c r="AQ9" s="16"/>
      <c r="AR9" s="16"/>
      <c r="AS9" s="16"/>
      <c r="AT9" s="16"/>
      <c r="AU9" s="16"/>
      <c r="AV9" s="16"/>
      <c r="AW9" s="16"/>
    </row>
    <row r="10" spans="1:67" s="4" customFormat="1" x14ac:dyDescent="0.2">
      <c r="A10" s="112">
        <v>8</v>
      </c>
      <c r="B10" s="17">
        <f>IF(Women[[#This Row],[PR Rang beim letzten Turnier]]&gt;Women[[#This Row],[PR Rang]],1,IF(Women[[#This Row],[PR Rang]]=Women[[#This Row],[PR Rang beim letzten Turnier]],0,-1))</f>
        <v>1</v>
      </c>
      <c r="C10" s="112">
        <f>RANK(Women[[#This Row],[PR Punkte]],Women[PR Punkte],0)</f>
        <v>4</v>
      </c>
      <c r="D10" s="17" t="s">
        <v>156</v>
      </c>
      <c r="E10" s="9" t="s">
        <v>12</v>
      </c>
      <c r="F10" s="177">
        <f>SUM(Women[[#This Row],[PR 1]:[PR 3]])</f>
        <v>951.5</v>
      </c>
      <c r="G10" s="109">
        <f>LARGE(Women[[#This Row],[TS SH O 22.02.22]:[PR3]],1)</f>
        <v>387.2</v>
      </c>
      <c r="H10" s="109">
        <f>LARGE(Women[[#This Row],[TS SH O 22.02.22]:[PR3]],2)</f>
        <v>325.60000000000002</v>
      </c>
      <c r="I10" s="109">
        <f>LARGE(Women[[#This Row],[TS SH O 22.02.22]:[PR3]],3)</f>
        <v>238.70000000000002</v>
      </c>
      <c r="J10" s="9">
        <f>RANK(K10,$K$7:$K$108,0)</f>
        <v>8</v>
      </c>
      <c r="K10" s="109">
        <f>SUM(L10:AA10)</f>
        <v>995.90000000000009</v>
      </c>
      <c r="L10" s="128" t="str">
        <f>IFERROR(VLOOKUP(Women[[#This Row],[TS SH O 22.02.22 Rang]],$AU$15:$AV$72,2,0)*L$5," ")</f>
        <v xml:space="preserve"> </v>
      </c>
      <c r="M10" s="109" t="str">
        <f>IFERROR(VLOOKUP(Women[[#This Row],[TS SH W 22.02.22 Rang]],$AR$15:$AS$72,2,0)*M$5," ")</f>
        <v xml:space="preserve"> </v>
      </c>
      <c r="N10" s="109" t="str">
        <f>IFERROR(VLOOKUP(Women[[#This Row],[TS LU W 12.03.22 Rang]],$AR$15:$AS$72,2,0)*N$5," ")</f>
        <v xml:space="preserve"> </v>
      </c>
      <c r="O10" s="128">
        <f>IFERROR(VLOOKUP(Women[[#This Row],[TS SH O 23.04.22 Rang]],$AU$15:$AV$72,2,0)*O$5," ")</f>
        <v>238.70000000000002</v>
      </c>
      <c r="P10" s="177">
        <f>IFERROR(VLOOKUP(Women[[#This Row],[TS LA W 08.05.22 Rang]],$AR$15:$AS$72,2,0)*P$5," ")</f>
        <v>325.60000000000002</v>
      </c>
      <c r="Q10" s="128" t="str">
        <f>IFERROR(VLOOKUP(Women[[#This Row],[TS SG O 25.05.22 Rang]],$AU$15:$AV$72,2,0)*Q$5," ")</f>
        <v xml:space="preserve"> </v>
      </c>
      <c r="R10" s="177" t="str">
        <f>IFERROR(VLOOKUP(Women[[#This Row],[TS SG W 25.05.22 Rang]],$AR$15:$AS$72,2,0)*R$5," ")</f>
        <v xml:space="preserve"> </v>
      </c>
      <c r="S10" s="128">
        <f>IFERROR(VLOOKUP(Women[[#This Row],[TS SH O 25.06.22 Rang]],$AU$15:$AV$72,2,0)*$S$5," ")</f>
        <v>44.4</v>
      </c>
      <c r="T10" s="177" t="str">
        <f>IFERROR(VLOOKUP(Women[[#This Row],[TS SH W 25.06.22 Rang]],$AR$15:$AS$72,2,0)*T$5," ")</f>
        <v xml:space="preserve"> </v>
      </c>
      <c r="U10" s="177" t="str">
        <f>IFERROR(VLOOKUP(Women[[#This Row],[TS ZH W 02.07.22 Rang]],$AR$15:$AS$72,2,0)*U$5," ")</f>
        <v xml:space="preserve"> </v>
      </c>
      <c r="V10" s="128" t="str">
        <f>IFERROR(VLOOKUP(Women[[#This Row],[SM BE O/A 09.07.22 Rang]],$AU$15:$AV$72,2,0)*V8," ")</f>
        <v xml:space="preserve"> </v>
      </c>
      <c r="W10" s="128" t="str">
        <f>IFERROR(VLOOKUP(Women[[#This Row],[SM BE O/B 09.07.22 Rang]],$AU$15:$AV$72,2,0)*$W$5," ")</f>
        <v xml:space="preserve"> </v>
      </c>
      <c r="X10" s="177">
        <f>IFERROR(VLOOKUP(Women[[#This Row],[SM BE W 09.07.22 Rang]],$AR$15:$AS$72,2,0)*X$5," ")</f>
        <v>387.2</v>
      </c>
      <c r="Y10" s="11">
        <v>0</v>
      </c>
      <c r="Z10" s="11">
        <v>0</v>
      </c>
      <c r="AA10" s="11">
        <v>0</v>
      </c>
      <c r="AB10" s="131"/>
      <c r="AC10" s="129"/>
      <c r="AD10" s="129"/>
      <c r="AE10" s="131">
        <v>8</v>
      </c>
      <c r="AF10" s="61">
        <v>1</v>
      </c>
      <c r="AG10" s="131"/>
      <c r="AH10" s="129"/>
      <c r="AI10" s="131">
        <v>17</v>
      </c>
      <c r="AJ10" s="129"/>
      <c r="AK10" s="129"/>
      <c r="AL10" s="131"/>
      <c r="AM10" s="131"/>
      <c r="AN10" s="61">
        <v>1</v>
      </c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67" s="4" customFormat="1" x14ac:dyDescent="0.2">
      <c r="A11" s="112">
        <v>4</v>
      </c>
      <c r="B11" s="17">
        <f>IF(Women[[#This Row],[PR Rang beim letzten Turnier]]&gt;Women[[#This Row],[PR Rang]],1,IF(Women[[#This Row],[PR Rang]]=Women[[#This Row],[PR Rang beim letzten Turnier]],0,-1))</f>
        <v>-1</v>
      </c>
      <c r="C11" s="112">
        <f>RANK(Women[[#This Row],[PR Punkte]],Women[PR Punkte],0)</f>
        <v>5</v>
      </c>
      <c r="D11" s="27" t="s">
        <v>196</v>
      </c>
      <c r="E11" s="9" t="s">
        <v>8</v>
      </c>
      <c r="F11" s="177">
        <f>SUM(Women[[#This Row],[PR 1]:[PR 3]])</f>
        <v>901.59999999999991</v>
      </c>
      <c r="G11" s="109">
        <f>LARGE(Women[[#This Row],[TS SH O 22.02.22]:[PR3]],1)</f>
        <v>334.4</v>
      </c>
      <c r="H11" s="109">
        <f>LARGE(Women[[#This Row],[TS SH O 22.02.22]:[PR3]],2)</f>
        <v>286</v>
      </c>
      <c r="I11" s="109">
        <f>LARGE(Women[[#This Row],[TS SH O 22.02.22]:[PR3]],3)</f>
        <v>281.2</v>
      </c>
      <c r="J11" s="9">
        <f>RANK(K11,$K$7:$K$108,0)</f>
        <v>6</v>
      </c>
      <c r="K11" s="109">
        <f>SUM(L11:AA11)</f>
        <v>1259</v>
      </c>
      <c r="L11" s="128" t="str">
        <f>IFERROR(VLOOKUP(Women[[#This Row],[TS SH O 22.02.22 Rang]],$AU$15:$AV$72,2,0)*L$5," ")</f>
        <v xml:space="preserve"> </v>
      </c>
      <c r="M11" s="109">
        <f>IFERROR(VLOOKUP(Women[[#This Row],[TS SH W 22.02.22 Rang]],$AR$15:$AS$72,2,0)*M$5," ")</f>
        <v>334.4</v>
      </c>
      <c r="N11" s="109">
        <f>IFERROR(VLOOKUP(Women[[#This Row],[TS LU W 12.03.22 Rang]],$AR$15:$AS$72,2,0)*N$5," ")</f>
        <v>240.79999999999998</v>
      </c>
      <c r="O11" s="128">
        <f>IFERROR(VLOOKUP(Women[[#This Row],[TS SH O 23.04.22 Rang]],$AU$15:$AV$72,2,0)*O$5," ")</f>
        <v>46.2</v>
      </c>
      <c r="P11" s="177" t="str">
        <f>IFERROR(VLOOKUP(Women[[#This Row],[TS LA W 08.05.22 Rang]],$AR$15:$AS$72,2,0)*P$5," ")</f>
        <v xml:space="preserve"> </v>
      </c>
      <c r="Q11" s="128" t="str">
        <f>IFERROR(VLOOKUP(Women[[#This Row],[TS SG O 25.05.22 Rang]],$AU$15:$AV$72,2,0)*Q$5," ")</f>
        <v xml:space="preserve"> </v>
      </c>
      <c r="R11" s="177" t="str">
        <f>IFERROR(VLOOKUP(Women[[#This Row],[TS SG W 25.05.22 Rang]],$AR$15:$AS$72,2,0)*R$5," ")</f>
        <v xml:space="preserve"> </v>
      </c>
      <c r="S11" s="128" t="str">
        <f>IFERROR(VLOOKUP(Women[[#This Row],[TS SH O 25.06.22 Rang]],$AU$15:$AV$72,2,0)*$S$5," ")</f>
        <v xml:space="preserve"> </v>
      </c>
      <c r="T11" s="177">
        <f>IFERROR(VLOOKUP(Women[[#This Row],[TS SH W 25.06.22 Rang]],$AR$15:$AS$72,2,0)*T$5," ")</f>
        <v>281.2</v>
      </c>
      <c r="U11" s="177">
        <f>IFERROR(VLOOKUP(Women[[#This Row],[TS ZH W 02.07.22 Rang]],$AR$15:$AS$72,2,0)*U$5," ")</f>
        <v>286</v>
      </c>
      <c r="V11" s="128" t="str">
        <f>IFERROR(VLOOKUP(Women[[#This Row],[SM BE O/A 09.07.22 Rang]],$AU$15:$AV$72,2,0)*V9," ")</f>
        <v xml:space="preserve"> </v>
      </c>
      <c r="W11" s="128" t="str">
        <f>IFERROR(VLOOKUP(Women[[#This Row],[SM BE O/B 09.07.22 Rang]],$AU$15:$AV$72,2,0)*$W$5," ")</f>
        <v xml:space="preserve"> </v>
      </c>
      <c r="X11" s="177">
        <f>IFERROR(VLOOKUP(Women[[#This Row],[SM BE W 09.07.22 Rang]],$AR$15:$AS$72,2,0)*X$5," ")</f>
        <v>70.400000000000006</v>
      </c>
      <c r="Y11" s="11">
        <v>0</v>
      </c>
      <c r="Z11" s="11">
        <v>0</v>
      </c>
      <c r="AA11" s="11">
        <v>0</v>
      </c>
      <c r="AB11" s="131"/>
      <c r="AC11" s="61">
        <v>1</v>
      </c>
      <c r="AD11" s="60">
        <v>3</v>
      </c>
      <c r="AE11" s="131">
        <v>26</v>
      </c>
      <c r="AF11" s="129"/>
      <c r="AG11" s="131"/>
      <c r="AH11" s="129"/>
      <c r="AI11" s="131"/>
      <c r="AJ11" s="60">
        <v>2</v>
      </c>
      <c r="AK11" s="60">
        <v>1</v>
      </c>
      <c r="AL11" s="131"/>
      <c r="AM11" s="131"/>
      <c r="AN11" s="60">
        <v>5</v>
      </c>
      <c r="AO11" s="41"/>
      <c r="AP11" s="41"/>
      <c r="AQ11" s="41"/>
      <c r="AR11" s="41"/>
      <c r="AS11" s="41"/>
      <c r="AT11" s="41"/>
      <c r="AU11" s="41"/>
      <c r="AV11" s="41"/>
      <c r="AW11" s="41"/>
    </row>
    <row r="12" spans="1:67" s="4" customFormat="1" x14ac:dyDescent="0.2">
      <c r="A12" s="112">
        <v>6</v>
      </c>
      <c r="B12" s="17">
        <f>IF(Women[[#This Row],[PR Rang beim letzten Turnier]]&gt;Women[[#This Row],[PR Rang]],1,IF(Women[[#This Row],[PR Rang]]=Women[[#This Row],[PR Rang beim letzten Turnier]],0,-1))</f>
        <v>0</v>
      </c>
      <c r="C12" s="112">
        <f>RANK(Women[[#This Row],[PR Punkte]],Women[PR Punkte],0)</f>
        <v>6</v>
      </c>
      <c r="D12" s="17" t="s">
        <v>28</v>
      </c>
      <c r="E12" s="9" t="s">
        <v>0</v>
      </c>
      <c r="F12" s="177">
        <f>SUM(Women[[#This Row],[PR 1]:[PR 3]])</f>
        <v>859.4</v>
      </c>
      <c r="G12" s="109">
        <f>LARGE(Women[[#This Row],[TS SH O 22.02.22]:[PR3]],1)</f>
        <v>325.60000000000002</v>
      </c>
      <c r="H12" s="109">
        <f>LARGE(Women[[#This Row],[TS SH O 22.02.22]:[PR3]],2)</f>
        <v>318.2</v>
      </c>
      <c r="I12" s="109">
        <f>LARGE(Women[[#This Row],[TS SH O 22.02.22]:[PR3]],3)</f>
        <v>215.6</v>
      </c>
      <c r="J12" s="9">
        <f>RANK(K12,$K$7:$K$108,0)</f>
        <v>7</v>
      </c>
      <c r="K12" s="109">
        <f>SUM(L12:AA12)</f>
        <v>1248.5999999999999</v>
      </c>
      <c r="L12" s="128" t="str">
        <f>IFERROR(VLOOKUP(Women[[#This Row],[TS SH O 22.02.22 Rang]],$AU$15:$AV$72,2,0)*L$5," ")</f>
        <v xml:space="preserve"> </v>
      </c>
      <c r="M12" s="109" t="str">
        <f>IFERROR(VLOOKUP(Women[[#This Row],[TS SH W 22.02.22 Rang]],$AR$15:$AS$72,2,0)*M$5," ")</f>
        <v xml:space="preserve"> </v>
      </c>
      <c r="N12" s="109">
        <f>IFERROR(VLOOKUP(Women[[#This Row],[TS LU W 12.03.22 Rang]],$AR$15:$AS$72,2,0)*N$5," ")</f>
        <v>318.2</v>
      </c>
      <c r="O12" s="128" t="str">
        <f>IFERROR(VLOOKUP(Women[[#This Row],[TS SH O 23.04.22 Rang]],$AU$15:$AV$72,2,0)*O$5," ")</f>
        <v xml:space="preserve"> </v>
      </c>
      <c r="P12" s="177">
        <f>IFERROR(VLOOKUP(Women[[#This Row],[TS LA W 08.05.22 Rang]],$AR$15:$AS$72,2,0)*P$5," ")</f>
        <v>207.2</v>
      </c>
      <c r="Q12" s="128" t="str">
        <f>IFERROR(VLOOKUP(Women[[#This Row],[TS SG O 25.05.22 Rang]],$AU$15:$AV$72,2,0)*Q$5," ")</f>
        <v xml:space="preserve"> </v>
      </c>
      <c r="R12" s="177">
        <f>IFERROR(VLOOKUP(Women[[#This Row],[TS SG W 25.05.22 Rang]],$AR$15:$AS$72,2,0)*R$5," ")</f>
        <v>215.6</v>
      </c>
      <c r="S12" s="128" t="str">
        <f>IFERROR(VLOOKUP(Women[[#This Row],[TS SH O 25.06.22 Rang]],$AU$15:$AV$72,2,0)*$S$5," ")</f>
        <v xml:space="preserve"> </v>
      </c>
      <c r="T12" s="177" t="str">
        <f>IFERROR(VLOOKUP(Women[[#This Row],[TS SH W 25.06.22 Rang]],$AR$15:$AS$72,2,0)*T$5," ")</f>
        <v xml:space="preserve"> </v>
      </c>
      <c r="U12" s="177">
        <f>IFERROR(VLOOKUP(Women[[#This Row],[TS ZH W 02.07.22 Rang]],$AR$15:$AS$72,2,0)*U$5," ")</f>
        <v>182</v>
      </c>
      <c r="V12" s="128" t="str">
        <f>IFERROR(VLOOKUP(Women[[#This Row],[SM BE O/A 09.07.22 Rang]],$AU$15:$AV$72,2,0)*V10," ")</f>
        <v xml:space="preserve"> </v>
      </c>
      <c r="W12" s="128" t="str">
        <f>IFERROR(VLOOKUP(Women[[#This Row],[SM BE O/B 09.07.22 Rang]],$AU$15:$AV$72,2,0)*$W$5," ")</f>
        <v xml:space="preserve"> </v>
      </c>
      <c r="X12" s="177">
        <f>IFERROR(VLOOKUP(Women[[#This Row],[SM BE W 09.07.22 Rang]],$AR$15:$AS$72,2,0)*X$5," ")</f>
        <v>325.60000000000002</v>
      </c>
      <c r="Y12" s="11">
        <v>0</v>
      </c>
      <c r="Z12" s="11">
        <v>0</v>
      </c>
      <c r="AA12" s="11">
        <v>0</v>
      </c>
      <c r="AB12" s="131"/>
      <c r="AC12" s="129"/>
      <c r="AD12" s="61">
        <v>2</v>
      </c>
      <c r="AE12" s="131"/>
      <c r="AF12" s="60">
        <v>3</v>
      </c>
      <c r="AG12" s="131"/>
      <c r="AH12" s="61">
        <v>3</v>
      </c>
      <c r="AI12" s="131"/>
      <c r="AJ12" s="129"/>
      <c r="AK12" s="122">
        <v>3</v>
      </c>
      <c r="AL12" s="131"/>
      <c r="AM12" s="131"/>
      <c r="AN12" s="60">
        <v>2</v>
      </c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67" s="4" customFormat="1" ht="17" x14ac:dyDescent="0.2">
      <c r="A13" s="112">
        <v>7</v>
      </c>
      <c r="B13" s="17">
        <f>IF(Women[[#This Row],[PR Rang beim letzten Turnier]]&gt;Women[[#This Row],[PR Rang]],1,IF(Women[[#This Row],[PR Rang]]=Women[[#This Row],[PR Rang beim letzten Turnier]],0,-1))</f>
        <v>0</v>
      </c>
      <c r="C13" s="112">
        <f>RANK(Women[[#This Row],[PR Punkte]],Women[PR Punkte],0)</f>
        <v>7</v>
      </c>
      <c r="D13" s="228" t="s">
        <v>160</v>
      </c>
      <c r="E13" s="9" t="s">
        <v>0</v>
      </c>
      <c r="F13" s="177">
        <f>SUM(Women[[#This Row],[PR 1]:[PR 3]])</f>
        <v>839.90000000000009</v>
      </c>
      <c r="G13" s="109">
        <f>LARGE(Women[[#This Row],[TS SH O 22.02.22]:[PR3]],1)</f>
        <v>284.90000000000003</v>
      </c>
      <c r="H13" s="109">
        <f>LARGE(Women[[#This Row],[TS SH O 22.02.22]:[PR3]],2)</f>
        <v>281.2</v>
      </c>
      <c r="I13" s="109">
        <f>LARGE(Women[[#This Row],[TS SH O 22.02.22]:[PR3]],3)</f>
        <v>273.8</v>
      </c>
      <c r="J13" s="9">
        <f>RANK(K13,$K$7:$K$108,0)</f>
        <v>3</v>
      </c>
      <c r="K13" s="109">
        <f>SUM(L13:AA13)</f>
        <v>1703.0000000000002</v>
      </c>
      <c r="L13" s="128" t="str">
        <f>IFERROR(VLOOKUP(Women[[#This Row],[TS SH O 22.02.22 Rang]],$AU$15:$AV$72,2,0)*L$5," ")</f>
        <v xml:space="preserve"> </v>
      </c>
      <c r="M13" s="109">
        <f>IFERROR(VLOOKUP(Women[[#This Row],[TS SH W 22.02.22 Rang]],$AR$15:$AS$72,2,0)*M$5," ")</f>
        <v>212.8</v>
      </c>
      <c r="N13" s="109">
        <f>IFERROR(VLOOKUP(Women[[#This Row],[TS LU W 12.03.22 Rang]],$AR$15:$AS$72,2,0)*N$5," ")</f>
        <v>163.4</v>
      </c>
      <c r="O13" s="128" t="str">
        <f>IFERROR(VLOOKUP(Women[[#This Row],[TS SH O 23.04.22 Rang]],$AU$15:$AV$72,2,0)*O$5," ")</f>
        <v xml:space="preserve"> </v>
      </c>
      <c r="P13" s="177">
        <f>IFERROR(VLOOKUP(Women[[#This Row],[TS LA W 08.05.22 Rang]],$AR$15:$AS$72,2,0)*P$5," ")</f>
        <v>273.8</v>
      </c>
      <c r="Q13" s="128" t="str">
        <f>IFERROR(VLOOKUP(Women[[#This Row],[TS SG O 25.05.22 Rang]],$AU$15:$AV$72,2,0)*Q$5," ")</f>
        <v xml:space="preserve"> </v>
      </c>
      <c r="R13" s="177">
        <f>IFERROR(VLOOKUP(Women[[#This Row],[TS SG W 25.05.22 Rang]],$AR$15:$AS$72,2,0)*R$5," ")</f>
        <v>284.90000000000003</v>
      </c>
      <c r="S13" s="128" t="str">
        <f>IFERROR(VLOOKUP(Women[[#This Row],[TS SH O 25.06.22 Rang]],$AU$15:$AV$72,2,0)*$S$5," ")</f>
        <v xml:space="preserve"> </v>
      </c>
      <c r="T13" s="177">
        <f>IFERROR(VLOOKUP(Women[[#This Row],[TS SH W 25.06.22 Rang]],$AR$15:$AS$72,2,0)*T$5," ")</f>
        <v>281.2</v>
      </c>
      <c r="U13" s="177">
        <f>IFERROR(VLOOKUP(Women[[#This Row],[TS ZH W 02.07.22 Rang]],$AR$15:$AS$72,2,0)*U$5," ")</f>
        <v>240.5</v>
      </c>
      <c r="V13" s="128" t="str">
        <f>IFERROR(VLOOKUP(Women[[#This Row],[SM BE O/A 09.07.22 Rang]],$AU$15:$AV$72,2,0)*V11," ")</f>
        <v xml:space="preserve"> </v>
      </c>
      <c r="W13" s="128" t="str">
        <f>IFERROR(VLOOKUP(Women[[#This Row],[SM BE O/B 09.07.22 Rang]],$AU$15:$AV$72,2,0)*$W$5," ")</f>
        <v xml:space="preserve"> </v>
      </c>
      <c r="X13" s="177">
        <f>IFERROR(VLOOKUP(Women[[#This Row],[SM BE W 09.07.22 Rang]],$AR$15:$AS$72,2,0)*X$5," ")</f>
        <v>246.4</v>
      </c>
      <c r="Y13" s="11">
        <v>0</v>
      </c>
      <c r="Z13" s="11">
        <v>0</v>
      </c>
      <c r="AA13" s="11">
        <v>0</v>
      </c>
      <c r="AB13" s="132"/>
      <c r="AC13" s="125">
        <v>3</v>
      </c>
      <c r="AD13" s="124">
        <v>4</v>
      </c>
      <c r="AE13" s="132"/>
      <c r="AF13" s="124">
        <v>2</v>
      </c>
      <c r="AG13" s="132"/>
      <c r="AH13" s="124">
        <v>2</v>
      </c>
      <c r="AI13" s="132"/>
      <c r="AJ13" s="124">
        <v>2</v>
      </c>
      <c r="AK13" s="124">
        <v>2</v>
      </c>
      <c r="AL13" s="132"/>
      <c r="AM13" s="132"/>
      <c r="AN13" s="124">
        <v>3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N13"/>
    </row>
    <row r="14" spans="1:67" s="4" customFormat="1" x14ac:dyDescent="0.2">
      <c r="A14" s="112">
        <v>10</v>
      </c>
      <c r="B14" s="17">
        <f>IF(Women[[#This Row],[PR Rang beim letzten Turnier]]&gt;Women[[#This Row],[PR Rang]],1,IF(Women[[#This Row],[PR Rang]]=Women[[#This Row],[PR Rang beim letzten Turnier]],0,-1))</f>
        <v>1</v>
      </c>
      <c r="C14" s="112">
        <f>RANK(Women[[#This Row],[PR Punkte]],Women[PR Punkte],0)</f>
        <v>8</v>
      </c>
      <c r="D14" s="17" t="s">
        <v>38</v>
      </c>
      <c r="E14" s="9" t="s">
        <v>0</v>
      </c>
      <c r="F14" s="177">
        <f>SUM(Women[[#This Row],[PR 1]:[PR 3]])</f>
        <v>805.1</v>
      </c>
      <c r="G14" s="109">
        <f>LARGE(Women[[#This Row],[TS SH O 22.02.22]:[PR3]],1)</f>
        <v>284.90000000000003</v>
      </c>
      <c r="H14" s="109">
        <f>LARGE(Women[[#This Row],[TS SH O 22.02.22]:[PR3]],2)</f>
        <v>273.8</v>
      </c>
      <c r="I14" s="109">
        <f>LARGE(Women[[#This Row],[TS SH O 22.02.22]:[PR3]],3)</f>
        <v>246.4</v>
      </c>
      <c r="J14" s="9">
        <f>RANK(K14,$K$7:$K$108,0)</f>
        <v>5</v>
      </c>
      <c r="K14" s="109">
        <f>SUM(L14:AA14)</f>
        <v>1325.7</v>
      </c>
      <c r="L14" s="128" t="str">
        <f>IFERROR(VLOOKUP(Women[[#This Row],[TS SH O 22.02.22 Rang]],$AU$15:$AV$72,2,0)*L$5," ")</f>
        <v xml:space="preserve"> </v>
      </c>
      <c r="M14" s="109">
        <f>IFERROR(VLOOKUP(Women[[#This Row],[TS SH W 22.02.22 Rang]],$AR$15:$AS$72,2,0)*M$5," ")</f>
        <v>144.4</v>
      </c>
      <c r="N14" s="109">
        <f>IFERROR(VLOOKUP(Women[[#This Row],[TS LU W 12.03.22 Rang]],$AR$15:$AS$72,2,0)*N$5," ")</f>
        <v>163.4</v>
      </c>
      <c r="O14" s="128" t="str">
        <f>IFERROR(VLOOKUP(Women[[#This Row],[TS SH O 23.04.22 Rang]],$AU$15:$AV$72,2,0)*O$5," ")</f>
        <v xml:space="preserve"> </v>
      </c>
      <c r="P14" s="177">
        <f>IFERROR(VLOOKUP(Women[[#This Row],[TS LA W 08.05.22 Rang]],$AR$15:$AS$72,2,0)*P$5," ")</f>
        <v>273.8</v>
      </c>
      <c r="Q14" s="128" t="str">
        <f>IFERROR(VLOOKUP(Women[[#This Row],[TS SG O 25.05.22 Rang]],$AU$15:$AV$72,2,0)*Q$5," ")</f>
        <v xml:space="preserve"> </v>
      </c>
      <c r="R14" s="177">
        <f>IFERROR(VLOOKUP(Women[[#This Row],[TS SG W 25.05.22 Rang]],$AR$15:$AS$72,2,0)*R$5," ")</f>
        <v>284.90000000000003</v>
      </c>
      <c r="S14" s="128" t="str">
        <f>IFERROR(VLOOKUP(Women[[#This Row],[TS SH O 25.06.22 Rang]],$AU$15:$AV$72,2,0)*$S$5," ")</f>
        <v xml:space="preserve"> </v>
      </c>
      <c r="T14" s="177">
        <f>IFERROR(VLOOKUP(Women[[#This Row],[TS SH W 25.06.22 Rang]],$AR$15:$AS$72,2,0)*T$5," ")</f>
        <v>212.8</v>
      </c>
      <c r="U14" s="177" t="str">
        <f>IFERROR(VLOOKUP(Women[[#This Row],[TS ZH W 02.07.22 Rang]],$AR$15:$AS$72,2,0)*U$5," ")</f>
        <v xml:space="preserve"> </v>
      </c>
      <c r="V14" s="128" t="str">
        <f>IFERROR(VLOOKUP(Women[[#This Row],[SM BE O/A 09.07.22 Rang]],$AU$15:$AV$72,2,0)*V12," ")</f>
        <v xml:space="preserve"> </v>
      </c>
      <c r="W14" s="128" t="str">
        <f>IFERROR(VLOOKUP(Women[[#This Row],[SM BE O/B 09.07.22 Rang]],$AU$15:$AV$72,2,0)*$W$5," ")</f>
        <v xml:space="preserve"> </v>
      </c>
      <c r="X14" s="177">
        <f>IFERROR(VLOOKUP(Women[[#This Row],[SM BE W 09.07.22 Rang]],$AR$15:$AS$72,2,0)*X$5," ")</f>
        <v>246.4</v>
      </c>
      <c r="Y14" s="11">
        <v>0</v>
      </c>
      <c r="Z14" s="11">
        <v>0</v>
      </c>
      <c r="AA14" s="11">
        <v>0</v>
      </c>
      <c r="AB14" s="131"/>
      <c r="AC14" s="61">
        <v>4</v>
      </c>
      <c r="AD14" s="61">
        <v>4</v>
      </c>
      <c r="AE14" s="131"/>
      <c r="AF14" s="61">
        <v>2</v>
      </c>
      <c r="AG14" s="131"/>
      <c r="AH14" s="61">
        <v>2</v>
      </c>
      <c r="AI14" s="131"/>
      <c r="AJ14" s="61">
        <v>3</v>
      </c>
      <c r="AK14" s="129"/>
      <c r="AL14" s="131"/>
      <c r="AM14" s="131"/>
      <c r="AN14" s="61">
        <v>3</v>
      </c>
      <c r="AO14" s="16"/>
      <c r="AP14" s="16"/>
      <c r="AQ14" s="16"/>
      <c r="AR14" s="138" t="s">
        <v>394</v>
      </c>
      <c r="AS14" s="139"/>
      <c r="AT14" s="16"/>
      <c r="AU14" s="300" t="s">
        <v>395</v>
      </c>
      <c r="AV14" s="300"/>
      <c r="AW14" s="16"/>
      <c r="AX14" s="300" t="s">
        <v>397</v>
      </c>
      <c r="AY14" s="300"/>
      <c r="AZ14" s="16"/>
      <c r="BA14" s="16"/>
      <c r="BB14" s="38"/>
      <c r="BC14" s="16"/>
      <c r="BD14" s="16"/>
      <c r="BE14" s="16"/>
      <c r="BN14"/>
    </row>
    <row r="15" spans="1:67" s="4" customFormat="1" x14ac:dyDescent="0.2">
      <c r="A15" s="112">
        <v>2</v>
      </c>
      <c r="B15" s="17">
        <f>IF(Women[[#This Row],[PR Rang beim letzten Turnier]]&gt;Women[[#This Row],[PR Rang]],1,IF(Women[[#This Row],[PR Rang]]=Women[[#This Row],[PR Rang beim letzten Turnier]],0,-1))</f>
        <v>-1</v>
      </c>
      <c r="C15" s="112">
        <f>RANK(Women[[#This Row],[PR Punkte]],Women[PR Punkte],0)</f>
        <v>9</v>
      </c>
      <c r="D15" s="17" t="s">
        <v>158</v>
      </c>
      <c r="E15" s="9" t="s">
        <v>0</v>
      </c>
      <c r="F15" s="177">
        <f>SUM(Women[[#This Row],[PR 1]:[PR 3]])</f>
        <v>735.6</v>
      </c>
      <c r="G15" s="109">
        <f>LARGE(Women[[#This Row],[TS SH O 22.02.22]:[PR3]],1)</f>
        <v>378.4</v>
      </c>
      <c r="H15" s="109">
        <f>LARGE(Women[[#This Row],[TS SH O 22.02.22]:[PR3]],2)</f>
        <v>212.8</v>
      </c>
      <c r="I15" s="109">
        <f>LARGE(Women[[#This Row],[TS SH O 22.02.22]:[PR3]],3)</f>
        <v>144.4</v>
      </c>
      <c r="J15" s="9">
        <f>RANK(K15,$K$7:$K$108,0)</f>
        <v>9</v>
      </c>
      <c r="K15" s="109">
        <f>SUM(L15:AA15)</f>
        <v>946.6</v>
      </c>
      <c r="L15" s="128" t="str">
        <f>IFERROR(VLOOKUP(Women[[#This Row],[TS SH O 22.02.22 Rang]],$AU$15:$AV$72,2,0)*L$5," ")</f>
        <v xml:space="preserve"> </v>
      </c>
      <c r="M15" s="109">
        <f>IFERROR(VLOOKUP(Women[[#This Row],[TS SH W 22.02.22 Rang]],$AR$15:$AS$72,2,0)*M$5," ")</f>
        <v>144.4</v>
      </c>
      <c r="N15" s="109">
        <f>IFERROR(VLOOKUP(Women[[#This Row],[TS LU W 12.03.22 Rang]],$AR$15:$AS$72,2,0)*N$5," ")</f>
        <v>378.4</v>
      </c>
      <c r="O15" s="128" t="str">
        <f>IFERROR(VLOOKUP(Women[[#This Row],[TS SH O 23.04.22 Rang]],$AU$15:$AV$72,2,0)*O$5," ")</f>
        <v xml:space="preserve"> </v>
      </c>
      <c r="P15" s="177">
        <f>IFERROR(VLOOKUP(Women[[#This Row],[TS LA W 08.05.22 Rang]],$AR$15:$AS$72,2,0)*P$5," ")</f>
        <v>140.6</v>
      </c>
      <c r="Q15" s="128" t="str">
        <f>IFERROR(VLOOKUP(Women[[#This Row],[TS SG O 25.05.22 Rang]],$AU$15:$AV$72,2,0)*Q$5," ")</f>
        <v xml:space="preserve"> </v>
      </c>
      <c r="R15" s="177" t="str">
        <f>IFERROR(VLOOKUP(Women[[#This Row],[TS SG W 25.05.22 Rang]],$AR$15:$AS$72,2,0)*R$5," ")</f>
        <v xml:space="preserve"> </v>
      </c>
      <c r="S15" s="128" t="str">
        <f>IFERROR(VLOOKUP(Women[[#This Row],[TS SH O 25.06.22 Rang]],$AU$15:$AV$72,2,0)*$S$5," ")</f>
        <v xml:space="preserve"> </v>
      </c>
      <c r="T15" s="177">
        <f>IFERROR(VLOOKUP(Women[[#This Row],[TS SH W 25.06.22 Rang]],$AR$15:$AS$72,2,0)*T$5," ")</f>
        <v>212.8</v>
      </c>
      <c r="U15" s="177" t="str">
        <f>IFERROR(VLOOKUP(Women[[#This Row],[TS ZH W 02.07.22 Rang]],$AR$15:$AS$72,2,0)*U$5," ")</f>
        <v xml:space="preserve"> </v>
      </c>
      <c r="V15" s="128" t="str">
        <f>IFERROR(VLOOKUP(Women[[#This Row],[SM BE O/A 09.07.22 Rang]],$AU$15:$AV$72,2,0)*V13," ")</f>
        <v xml:space="preserve"> </v>
      </c>
      <c r="W15" s="128" t="str">
        <f>IFERROR(VLOOKUP(Women[[#This Row],[SM BE O/B 09.07.22 Rang]],$AU$15:$AV$72,2,0)*$W$5," ")</f>
        <v xml:space="preserve"> </v>
      </c>
      <c r="X15" s="177">
        <f>IFERROR(VLOOKUP(Women[[#This Row],[SM BE W 09.07.22 Rang]],$AR$15:$AS$72,2,0)*X$5," ")</f>
        <v>70.400000000000006</v>
      </c>
      <c r="Y15" s="11">
        <v>0</v>
      </c>
      <c r="Z15" s="11">
        <v>0</v>
      </c>
      <c r="AA15" s="11">
        <v>0</v>
      </c>
      <c r="AB15" s="131"/>
      <c r="AC15" s="60">
        <v>4</v>
      </c>
      <c r="AD15" s="60">
        <v>1</v>
      </c>
      <c r="AE15" s="131"/>
      <c r="AF15" s="122">
        <v>4</v>
      </c>
      <c r="AG15" s="131"/>
      <c r="AH15" s="129"/>
      <c r="AI15" s="131"/>
      <c r="AJ15" s="60">
        <v>3</v>
      </c>
      <c r="AK15" s="129"/>
      <c r="AL15" s="131"/>
      <c r="AM15" s="131"/>
      <c r="AN15" s="60">
        <v>5</v>
      </c>
      <c r="AO15" s="16"/>
      <c r="AP15" s="16"/>
      <c r="AQ15" s="16"/>
      <c r="AR15" s="135" t="s">
        <v>5</v>
      </c>
      <c r="AS15" s="136" t="s">
        <v>6</v>
      </c>
      <c r="AT15" s="16"/>
      <c r="AU15" s="112" t="s">
        <v>5</v>
      </c>
      <c r="AV15" s="112" t="s">
        <v>6</v>
      </c>
      <c r="AW15" s="16"/>
      <c r="AX15" s="290" t="s">
        <v>453</v>
      </c>
      <c r="AY15" s="290"/>
      <c r="AZ15" s="290"/>
      <c r="BA15" s="290"/>
      <c r="BB15" s="290"/>
      <c r="BC15" s="290"/>
      <c r="BD15" s="290"/>
      <c r="BE15" s="16"/>
      <c r="BF15" s="16"/>
      <c r="BN15"/>
    </row>
    <row r="16" spans="1:67" s="4" customFormat="1" x14ac:dyDescent="0.2">
      <c r="A16" s="112">
        <v>11</v>
      </c>
      <c r="B16" s="17">
        <f>IF(Women[[#This Row],[PR Rang beim letzten Turnier]]&gt;Women[[#This Row],[PR Rang]],1,IF(Women[[#This Row],[PR Rang]]=Women[[#This Row],[PR Rang beim letzten Turnier]],0,-1))</f>
        <v>1</v>
      </c>
      <c r="C16" s="112">
        <f>RANK(Women[[#This Row],[PR Punkte]],Women[PR Punkte],0)</f>
        <v>10</v>
      </c>
      <c r="D16" s="17" t="s">
        <v>155</v>
      </c>
      <c r="E16" s="9" t="s">
        <v>13</v>
      </c>
      <c r="F16" s="177">
        <f>SUM(Women[[#This Row],[PR 1]:[PR 3]])</f>
        <v>526.79999999999995</v>
      </c>
      <c r="G16" s="109">
        <f>LARGE(Women[[#This Row],[TS SH O 22.02.22]:[PR3]],1)</f>
        <v>338.8</v>
      </c>
      <c r="H16" s="109">
        <f>LARGE(Women[[#This Row],[TS SH O 22.02.22]:[PR3]],2)</f>
        <v>188</v>
      </c>
      <c r="I16" s="109">
        <f>LARGE(Women[[#This Row],[TS SH O 22.02.22]:[PR3]],3)</f>
        <v>0</v>
      </c>
      <c r="J16" s="9">
        <f>RANK(K16,$K$7:$K$108,0)</f>
        <v>11</v>
      </c>
      <c r="K16" s="109">
        <f>SUM(L16:AA16)</f>
        <v>526.79999999999995</v>
      </c>
      <c r="L16" s="128">
        <f>IFERROR(VLOOKUP(Women[[#This Row],[TS SH O 22.02.22 Rang]],$AU$15:$AV$72,2,0)*L$5," ")</f>
        <v>188</v>
      </c>
      <c r="M16" s="109" t="str">
        <f>IFERROR(VLOOKUP(Women[[#This Row],[TS SH W 22.02.22 Rang]],$AR$15:$AS$72,2,0)*M$5," ")</f>
        <v xml:space="preserve"> </v>
      </c>
      <c r="N16" s="109" t="str">
        <f>IFERROR(VLOOKUP(Women[[#This Row],[TS LU W 12.03.22 Rang]],$AR$15:$AS$72,2,0)*N$5," ")</f>
        <v xml:space="preserve"> </v>
      </c>
      <c r="O16" s="128" t="str">
        <f>IFERROR(VLOOKUP(Women[[#This Row],[TS SH O 23.04.22 Rang]],$AU$15:$AV$72,2,0)*O$5," ")</f>
        <v xml:space="preserve"> </v>
      </c>
      <c r="P16" s="177" t="str">
        <f>IFERROR(VLOOKUP(Women[[#This Row],[TS LA W 08.05.22 Rang]],$AR$15:$AS$72,2,0)*P$5," ")</f>
        <v xml:space="preserve"> </v>
      </c>
      <c r="Q16" s="128" t="str">
        <f>IFERROR(VLOOKUP(Women[[#This Row],[TS SG O 25.05.22 Rang]],$AU$15:$AV$72,2,0)*Q$5," ")</f>
        <v xml:space="preserve"> </v>
      </c>
      <c r="R16" s="177">
        <f>IFERROR(VLOOKUP(Women[[#This Row],[TS SG W 25.05.22 Rang]],$AR$15:$AS$72,2,0)*R$5," ")</f>
        <v>338.8</v>
      </c>
      <c r="S16" s="128" t="str">
        <f>IFERROR(VLOOKUP(Women[[#This Row],[TS SH O 25.06.22 Rang]],$AU$15:$AV$72,2,0)*$S$5," ")</f>
        <v xml:space="preserve"> </v>
      </c>
      <c r="T16" s="177" t="str">
        <f>IFERROR(VLOOKUP(Women[[#This Row],[TS SH W 25.06.22 Rang]],$AR$15:$AS$72,2,0)*T$5," ")</f>
        <v xml:space="preserve"> </v>
      </c>
      <c r="U16" s="177" t="str">
        <f>IFERROR(VLOOKUP(Women[[#This Row],[TS ZH W 02.07.22 Rang]],$AR$15:$AS$72,2,0)*U$5," ")</f>
        <v xml:space="preserve"> </v>
      </c>
      <c r="V16" s="128" t="str">
        <f>IFERROR(VLOOKUP(Women[[#This Row],[SM BE O/A 09.07.22 Rang]],$AU$15:$AV$72,2,0)*V14," ")</f>
        <v xml:space="preserve"> </v>
      </c>
      <c r="W16" s="128" t="str">
        <f>IFERROR(VLOOKUP(Women[[#This Row],[SM BE O/B 09.07.22 Rang]],$AU$15:$AV$72,2,0)*$W$5," ")</f>
        <v xml:space="preserve"> </v>
      </c>
      <c r="X16" s="177" t="str">
        <f>IFERROR(VLOOKUP(Women[[#This Row],[SM BE W 09.07.22 Rang]],$AR$15:$AS$72,2,0)*X$5," ")</f>
        <v xml:space="preserve"> </v>
      </c>
      <c r="Y16" s="11">
        <v>0</v>
      </c>
      <c r="Z16" s="11">
        <v>0</v>
      </c>
      <c r="AA16" s="11">
        <v>0</v>
      </c>
      <c r="AB16" s="132">
        <v>11</v>
      </c>
      <c r="AC16" s="130"/>
      <c r="AD16" s="130"/>
      <c r="AE16" s="132"/>
      <c r="AF16" s="130"/>
      <c r="AG16" s="132"/>
      <c r="AH16" s="123">
        <v>1</v>
      </c>
      <c r="AI16" s="132"/>
      <c r="AJ16" s="130"/>
      <c r="AK16" s="130"/>
      <c r="AL16" s="132"/>
      <c r="AM16" s="132"/>
      <c r="AN16" s="130"/>
      <c r="AO16" s="16"/>
      <c r="AP16" s="16"/>
      <c r="AQ16" s="16"/>
      <c r="AR16" s="47">
        <v>1</v>
      </c>
      <c r="AS16" s="49">
        <v>220</v>
      </c>
      <c r="AT16" s="16"/>
      <c r="AU16" s="49">
        <v>1</v>
      </c>
      <c r="AV16" s="49">
        <v>1100</v>
      </c>
      <c r="AW16" s="16"/>
      <c r="BC16" s="44"/>
      <c r="BD16" s="44"/>
      <c r="BE16" s="16"/>
      <c r="BK16"/>
      <c r="BL16"/>
      <c r="BN16"/>
      <c r="BO16" s="16"/>
    </row>
    <row r="17" spans="1:67" s="4" customFormat="1" x14ac:dyDescent="0.2">
      <c r="A17" s="112">
        <v>15</v>
      </c>
      <c r="B17" s="17">
        <f>IF(Women[[#This Row],[PR Rang beim letzten Turnier]]&gt;Women[[#This Row],[PR Rang]],1,IF(Women[[#This Row],[PR Rang]]=Women[[#This Row],[PR Rang beim letzten Turnier]],0,-1))</f>
        <v>1</v>
      </c>
      <c r="C17" s="112">
        <f>RANK(Women[[#This Row],[PR Punkte]],Women[PR Punkte],0)</f>
        <v>11</v>
      </c>
      <c r="D17" s="17" t="s">
        <v>45</v>
      </c>
      <c r="E17" s="11" t="s">
        <v>10</v>
      </c>
      <c r="F17" s="177">
        <f>SUM(Women[[#This Row],[PR 1]:[PR 3]])</f>
        <v>506.5</v>
      </c>
      <c r="G17" s="109">
        <f>LARGE(Women[[#This Row],[TS SH O 22.02.22]:[PR3]],1)</f>
        <v>240.5</v>
      </c>
      <c r="H17" s="109">
        <f>LARGE(Women[[#This Row],[TS SH O 22.02.22]:[PR3]],2)</f>
        <v>212.8</v>
      </c>
      <c r="I17" s="109">
        <f>LARGE(Women[[#This Row],[TS SH O 22.02.22]:[PR3]],3)</f>
        <v>53.2</v>
      </c>
      <c r="J17" s="11">
        <f>RANK(K17,$K$7:$K$108,0)</f>
        <v>10</v>
      </c>
      <c r="K17" s="109">
        <f>SUM(L17:AA17)</f>
        <v>576.10000000000014</v>
      </c>
      <c r="L17" s="128" t="str">
        <f>IFERROR(VLOOKUP(Women[[#This Row],[TS SH O 22.02.22 Rang]],$AU$15:$AV$72,2,0)*L$5," ")</f>
        <v xml:space="preserve"> </v>
      </c>
      <c r="M17" s="109">
        <f>IFERROR(VLOOKUP(Women[[#This Row],[TS SH W 22.02.22 Rang]],$AR$15:$AS$72,2,0)*M$5," ")</f>
        <v>212.8</v>
      </c>
      <c r="N17" s="109">
        <f>IFERROR(VLOOKUP(Women[[#This Row],[TS LU W 12.03.22 Rang]],$AR$15:$AS$72,2,0)*N$5," ")</f>
        <v>34.4</v>
      </c>
      <c r="O17" s="128" t="str">
        <f>IFERROR(VLOOKUP(Women[[#This Row],[TS SH O 23.04.22 Rang]],$AU$15:$AV$72,2,0)*O$5," ")</f>
        <v xml:space="preserve"> </v>
      </c>
      <c r="P17" s="177" t="str">
        <f>IFERROR(VLOOKUP(Women[[#This Row],[TS LA W 08.05.22 Rang]],$AR$15:$AS$72,2,0)*P$5," ")</f>
        <v xml:space="preserve"> </v>
      </c>
      <c r="Q17" s="128" t="str">
        <f>IFERROR(VLOOKUP(Women[[#This Row],[TS SG O 25.05.22 Rang]],$AU$15:$AV$72,2,0)*Q$5," ")</f>
        <v xml:space="preserve"> </v>
      </c>
      <c r="R17" s="177" t="str">
        <f>IFERROR(VLOOKUP(Women[[#This Row],[TS SG W 25.05.22 Rang]],$AR$15:$AS$72,2,0)*R$5," ")</f>
        <v xml:space="preserve"> </v>
      </c>
      <c r="S17" s="128" t="str">
        <f>IFERROR(VLOOKUP(Women[[#This Row],[TS SH O 25.06.22 Rang]],$AU$15:$AV$72,2,0)*$S$5," ")</f>
        <v xml:space="preserve"> </v>
      </c>
      <c r="T17" s="177">
        <f>IFERROR(VLOOKUP(Women[[#This Row],[TS SH W 25.06.22 Rang]],$AR$15:$AS$72,2,0)*T$5," ")</f>
        <v>53.2</v>
      </c>
      <c r="U17" s="177">
        <f>IFERROR(VLOOKUP(Women[[#This Row],[TS ZH W 02.07.22 Rang]],$AR$15:$AS$72,2,0)*U$5," ")</f>
        <v>240.5</v>
      </c>
      <c r="V17" s="128" t="str">
        <f>IFERROR(VLOOKUP(Women[[#This Row],[SM BE O/A 09.07.22 Rang]],$AU$15:$AV$72,2,0)*V15," ")</f>
        <v xml:space="preserve"> </v>
      </c>
      <c r="W17" s="128" t="str">
        <f>IFERROR(VLOOKUP(Women[[#This Row],[SM BE O/B 09.07.22 Rang]],$AU$15:$AV$72,2,0)*$W$5," ")</f>
        <v xml:space="preserve"> </v>
      </c>
      <c r="X17" s="177">
        <f>IFERROR(VLOOKUP(Women[[#This Row],[SM BE W 09.07.22 Rang]],$AR$15:$AS$72,2,0)*X$5," ")</f>
        <v>35.200000000000003</v>
      </c>
      <c r="Y17" s="11">
        <v>0</v>
      </c>
      <c r="Z17" s="11">
        <v>0</v>
      </c>
      <c r="AA17" s="11">
        <v>0</v>
      </c>
      <c r="AB17" s="131"/>
      <c r="AC17" s="129">
        <v>3</v>
      </c>
      <c r="AD17" s="122">
        <v>15</v>
      </c>
      <c r="AE17" s="131"/>
      <c r="AF17" s="129"/>
      <c r="AG17" s="131"/>
      <c r="AH17" s="129"/>
      <c r="AI17" s="131"/>
      <c r="AJ17" s="122">
        <v>6</v>
      </c>
      <c r="AK17" s="62">
        <v>2</v>
      </c>
      <c r="AL17" s="131"/>
      <c r="AM17" s="131"/>
      <c r="AN17" s="122">
        <v>10</v>
      </c>
      <c r="AO17" s="112" t="s">
        <v>458</v>
      </c>
      <c r="AP17" s="41"/>
      <c r="AQ17" s="41"/>
      <c r="AR17" s="47">
        <v>2</v>
      </c>
      <c r="AS17" s="49">
        <v>185</v>
      </c>
      <c r="AT17" s="16"/>
      <c r="AU17" s="50">
        <v>2</v>
      </c>
      <c r="AV17" s="50">
        <v>900</v>
      </c>
      <c r="AW17" s="41"/>
      <c r="AX17" s="54" t="s">
        <v>399</v>
      </c>
      <c r="AY17" s="143">
        <v>0.1</v>
      </c>
      <c r="AZ17" s="16" t="s">
        <v>449</v>
      </c>
      <c r="BA17" s="16"/>
      <c r="BB17" s="133" t="s">
        <v>455</v>
      </c>
      <c r="BC17" s="55"/>
      <c r="BD17" s="55"/>
      <c r="BE17" s="35"/>
      <c r="BF17" s="35"/>
      <c r="BK17"/>
      <c r="BL17"/>
      <c r="BN17"/>
      <c r="BO17" s="16"/>
    </row>
    <row r="18" spans="1:67" s="4" customFormat="1" ht="17" thickBot="1" x14ac:dyDescent="0.25">
      <c r="A18" s="149">
        <v>12</v>
      </c>
      <c r="B18" s="181">
        <f>IF(Women[[#This Row],[PR Rang beim letzten Turnier]]&gt;Women[[#This Row],[PR Rang]],1,IF(Women[[#This Row],[PR Rang]]=Women[[#This Row],[PR Rang beim letzten Turnier]],0,-1))</f>
        <v>0</v>
      </c>
      <c r="C18" s="149">
        <f>RANK(Women[[#This Row],[PR Punkte]],Women[PR Punkte],0)</f>
        <v>12</v>
      </c>
      <c r="D18" s="181" t="s">
        <v>198</v>
      </c>
      <c r="E18" s="306" t="s">
        <v>0</v>
      </c>
      <c r="F18" s="178">
        <f>SUM(Women[[#This Row],[PR 1]:[PR 3]])</f>
        <v>382.3</v>
      </c>
      <c r="G18" s="151">
        <f>LARGE(Women[[#This Row],[TS SH O 22.02.22]:[PR3]],1)</f>
        <v>167.2</v>
      </c>
      <c r="H18" s="151">
        <f>LARGE(Women[[#This Row],[TS SH O 22.02.22]:[PR3]],2)</f>
        <v>146.30000000000001</v>
      </c>
      <c r="I18" s="151">
        <f>LARGE(Women[[#This Row],[TS SH O 22.02.22]:[PR3]],3)</f>
        <v>68.8</v>
      </c>
      <c r="J18" s="306">
        <f>RANK(K18,$K$7:$K$108,0)</f>
        <v>12</v>
      </c>
      <c r="K18" s="151">
        <f>SUM(L18:AA18)</f>
        <v>382.3</v>
      </c>
      <c r="L18" s="152" t="str">
        <f>IFERROR(VLOOKUP(Women[[#This Row],[TS SH O 22.02.22 Rang]],$AU$15:$AV$72,2,0)*L$5," ")</f>
        <v xml:space="preserve"> </v>
      </c>
      <c r="M18" s="151" t="str">
        <f>IFERROR(VLOOKUP(Women[[#This Row],[TS SH W 22.02.22 Rang]],$AR$15:$AS$72,2,0)*M$5," ")</f>
        <v xml:space="preserve"> </v>
      </c>
      <c r="N18" s="151">
        <f>IFERROR(VLOOKUP(Women[[#This Row],[TS LU W 12.03.22 Rang]],$AR$15:$AS$72,2,0)*N$5," ")</f>
        <v>68.8</v>
      </c>
      <c r="O18" s="152" t="str">
        <f>IFERROR(VLOOKUP(Women[[#This Row],[TS SH O 23.04.22 Rang]],$AU$15:$AV$72,2,0)*O$5," ")</f>
        <v xml:space="preserve"> </v>
      </c>
      <c r="P18" s="178" t="str">
        <f>IFERROR(VLOOKUP(Women[[#This Row],[TS LA W 08.05.22 Rang]],$AR$15:$AS$72,2,0)*P$5," ")</f>
        <v xml:space="preserve"> </v>
      </c>
      <c r="Q18" s="152" t="str">
        <f>IFERROR(VLOOKUP(Women[[#This Row],[TS SG O 25.05.22 Rang]],$AU$15:$AV$72,2,0)*Q$5," ")</f>
        <v xml:space="preserve"> </v>
      </c>
      <c r="R18" s="178">
        <f>IFERROR(VLOOKUP(Women[[#This Row],[TS SG W 25.05.22 Rang]],$AR$15:$AS$72,2,0)*R$5," ")</f>
        <v>146.30000000000001</v>
      </c>
      <c r="S18" s="152" t="str">
        <f>IFERROR(VLOOKUP(Women[[#This Row],[TS SH O 25.06.22 Rang]],$AU$15:$AV$72,2,0)*$S$5," ")</f>
        <v xml:space="preserve"> </v>
      </c>
      <c r="T18" s="178" t="str">
        <f>IFERROR(VLOOKUP(Women[[#This Row],[TS SH W 25.06.22 Rang]],$AR$15:$AS$72,2,0)*T$5," ")</f>
        <v xml:space="preserve"> </v>
      </c>
      <c r="U18" s="178" t="str">
        <f>IFERROR(VLOOKUP(Women[[#This Row],[TS ZH W 02.07.22 Rang]],$AR$15:$AS$72,2,0)*U$5," ")</f>
        <v xml:space="preserve"> </v>
      </c>
      <c r="V18" s="152" t="str">
        <f>IFERROR(VLOOKUP(Women[[#This Row],[SM BE O/A 09.07.22 Rang]],$AU$15:$AV$72,2,0)*V16," ")</f>
        <v xml:space="preserve"> </v>
      </c>
      <c r="W18" s="152" t="str">
        <f>IFERROR(VLOOKUP(Women[[#This Row],[SM BE O/B 09.07.22 Rang]],$AU$15:$AV$72,2,0)*$W$5," ")</f>
        <v xml:space="preserve"> </v>
      </c>
      <c r="X18" s="178">
        <f>IFERROR(VLOOKUP(Women[[#This Row],[SM BE W 09.07.22 Rang]],$AR$15:$AS$72,2,0)*X$5," ")</f>
        <v>167.2</v>
      </c>
      <c r="Y18" s="150">
        <v>0</v>
      </c>
      <c r="Z18" s="150">
        <v>0</v>
      </c>
      <c r="AA18" s="150">
        <v>0</v>
      </c>
      <c r="AB18" s="309"/>
      <c r="AC18" s="310"/>
      <c r="AD18" s="311">
        <v>5</v>
      </c>
      <c r="AE18" s="309"/>
      <c r="AF18" s="310"/>
      <c r="AG18" s="309"/>
      <c r="AH18" s="312">
        <v>4</v>
      </c>
      <c r="AI18" s="309"/>
      <c r="AJ18" s="310"/>
      <c r="AK18" s="310"/>
      <c r="AL18" s="309"/>
      <c r="AM18" s="309"/>
      <c r="AN18" s="311">
        <v>4</v>
      </c>
      <c r="AO18" s="149" t="s">
        <v>457</v>
      </c>
      <c r="AP18" s="153"/>
      <c r="AQ18" s="16"/>
      <c r="AR18" s="47">
        <v>3</v>
      </c>
      <c r="AS18" s="49">
        <v>140</v>
      </c>
      <c r="AT18" s="16"/>
      <c r="AU18" s="49">
        <v>3</v>
      </c>
      <c r="AV18" s="49">
        <v>700</v>
      </c>
      <c r="AW18" s="16"/>
      <c r="AX18" s="54" t="s">
        <v>399</v>
      </c>
      <c r="AY18" s="51">
        <v>0.06</v>
      </c>
      <c r="AZ18" s="16" t="s">
        <v>450</v>
      </c>
      <c r="BA18" s="16"/>
      <c r="BB18" s="120"/>
      <c r="BD18" s="46"/>
      <c r="BE18" s="16"/>
      <c r="BK18"/>
      <c r="BL18"/>
      <c r="BN18"/>
      <c r="BO18" s="16"/>
    </row>
    <row r="19" spans="1:67" s="4" customFormat="1" x14ac:dyDescent="0.2">
      <c r="A19" s="112">
        <v>9</v>
      </c>
      <c r="B19" s="17">
        <f>IF(Women[[#This Row],[PR Rang beim letzten Turnier]]&gt;Women[[#This Row],[PR Rang]],1,IF(Women[[#This Row],[PR Rang]]=Women[[#This Row],[PR Rang beim letzten Turnier]],0,-1))</f>
        <v>-1</v>
      </c>
      <c r="C19" s="112">
        <f>RANK(Women[[#This Row],[PR Punkte]],Women[PR Punkte],0)</f>
        <v>13</v>
      </c>
      <c r="D19" s="27" t="s">
        <v>197</v>
      </c>
      <c r="E19" s="9" t="s">
        <v>8</v>
      </c>
      <c r="F19" s="177">
        <f>SUM(Women[[#This Row],[PR 1]:[PR 3]])</f>
        <v>346.79999999999995</v>
      </c>
      <c r="G19" s="109">
        <f>LARGE(Women[[#This Row],[TS SH O 22.02.22]:[PR3]],1)</f>
        <v>240.79999999999998</v>
      </c>
      <c r="H19" s="109">
        <f>LARGE(Women[[#This Row],[TS SH O 22.02.22]:[PR3]],2)</f>
        <v>61.6</v>
      </c>
      <c r="I19" s="109">
        <f>LARGE(Women[[#This Row],[TS SH O 22.02.22]:[PR3]],3)</f>
        <v>44.4</v>
      </c>
      <c r="J19" s="9">
        <f>RANK(K19,$K$7:$K$108,0)</f>
        <v>13</v>
      </c>
      <c r="K19" s="109">
        <f>SUM(L19:AA19)</f>
        <v>346.8</v>
      </c>
      <c r="L19" s="128" t="str">
        <f>IFERROR(VLOOKUP(Women[[#This Row],[TS SH O 22.02.22 Rang]],$AU$15:$AV$72,2,0)*L$5," ")</f>
        <v xml:space="preserve"> </v>
      </c>
      <c r="M19" s="109" t="str">
        <f>IFERROR(VLOOKUP(Women[[#This Row],[TS SH W 22.02.22 Rang]],$AR$15:$AS$72,2,0)*M$5," ")</f>
        <v xml:space="preserve"> </v>
      </c>
      <c r="N19" s="109">
        <f>IFERROR(VLOOKUP(Women[[#This Row],[TS LU W 12.03.22 Rang]],$AR$15:$AS$72,2,0)*N$5," ")</f>
        <v>240.79999999999998</v>
      </c>
      <c r="O19" s="128" t="str">
        <f>IFERROR(VLOOKUP(Women[[#This Row],[TS SH O 23.04.22 Rang]],$AU$15:$AV$72,2,0)*O$5," ")</f>
        <v xml:space="preserve"> </v>
      </c>
      <c r="P19" s="177" t="str">
        <f>IFERROR(VLOOKUP(Women[[#This Row],[TS LA W 08.05.22 Rang]],$AR$15:$AS$72,2,0)*P$5," ")</f>
        <v xml:space="preserve"> </v>
      </c>
      <c r="Q19" s="128">
        <f>IFERROR(VLOOKUP(Women[[#This Row],[TS SG O 25.05.22 Rang]],$AU$15:$AV$72,2,0)*Q$5," ")</f>
        <v>44.4</v>
      </c>
      <c r="R19" s="177" t="str">
        <f>IFERROR(VLOOKUP(Women[[#This Row],[TS SG W 25.05.22 Rang]],$AR$15:$AS$72,2,0)*R$5," ")</f>
        <v xml:space="preserve"> </v>
      </c>
      <c r="S19" s="128" t="str">
        <f>IFERROR(VLOOKUP(Women[[#This Row],[TS SH O 25.06.22 Rang]],$AU$15:$AV$72,2,0)*$S$5," ")</f>
        <v xml:space="preserve"> </v>
      </c>
      <c r="T19" s="177" t="str">
        <f>IFERROR(VLOOKUP(Women[[#This Row],[TS SH W 25.06.22 Rang]],$AR$15:$AS$72,2,0)*T$5," ")</f>
        <v xml:space="preserve"> </v>
      </c>
      <c r="U19" s="177" t="str">
        <f>IFERROR(VLOOKUP(Women[[#This Row],[TS ZH W 02.07.22 Rang]],$AR$15:$AS$72,2,0)*U$5," ")</f>
        <v xml:space="preserve"> </v>
      </c>
      <c r="V19" s="128" t="str">
        <f>IFERROR(VLOOKUP(Women[[#This Row],[SM BE O/A 09.07.22 Rang]],$AU$15:$AV$72,2,0)*V17," ")</f>
        <v xml:space="preserve"> </v>
      </c>
      <c r="W19" s="128" t="str">
        <f>IFERROR(VLOOKUP(Women[[#This Row],[SM BE O/B 09.07.22 Rang]],$AU$15:$AV$72,2,0)*$W$5," ")</f>
        <v xml:space="preserve"> </v>
      </c>
      <c r="X19" s="177">
        <f>IFERROR(VLOOKUP(Women[[#This Row],[SM BE W 09.07.22 Rang]],$AR$15:$AS$72,2,0)*X$5," ")</f>
        <v>61.6</v>
      </c>
      <c r="Y19" s="11">
        <v>0</v>
      </c>
      <c r="Z19" s="11">
        <v>0</v>
      </c>
      <c r="AA19" s="11">
        <v>0</v>
      </c>
      <c r="AB19" s="131"/>
      <c r="AC19" s="129"/>
      <c r="AD19" s="61">
        <v>3</v>
      </c>
      <c r="AE19" s="131"/>
      <c r="AF19" s="129"/>
      <c r="AG19" s="131">
        <v>19</v>
      </c>
      <c r="AH19" s="129"/>
      <c r="AI19" s="131"/>
      <c r="AJ19" s="129"/>
      <c r="AK19" s="129"/>
      <c r="AL19" s="131"/>
      <c r="AM19" s="131"/>
      <c r="AN19" s="122">
        <v>6</v>
      </c>
      <c r="AO19" s="16"/>
      <c r="AP19" s="16"/>
      <c r="AQ19" s="16"/>
      <c r="AR19" s="47">
        <v>4</v>
      </c>
      <c r="AS19" s="49">
        <v>95</v>
      </c>
      <c r="AT19" s="16"/>
      <c r="AU19" s="49">
        <v>4</v>
      </c>
      <c r="AV19" s="49">
        <v>500</v>
      </c>
      <c r="AW19" s="16"/>
      <c r="AX19" s="54" t="s">
        <v>399</v>
      </c>
      <c r="AY19" s="52">
        <v>0.04</v>
      </c>
      <c r="AZ19" s="16" t="s">
        <v>451</v>
      </c>
      <c r="BA19" s="16"/>
      <c r="BB19" s="134" t="s">
        <v>456</v>
      </c>
      <c r="BC19" s="58"/>
      <c r="BD19" s="58"/>
      <c r="BE19" s="57"/>
      <c r="BF19" s="57"/>
      <c r="BK19"/>
      <c r="BL19"/>
      <c r="BN19"/>
      <c r="BO19" s="16"/>
    </row>
    <row r="20" spans="1:67" s="4" customFormat="1" x14ac:dyDescent="0.2">
      <c r="A20" s="112">
        <v>17</v>
      </c>
      <c r="B20" s="17">
        <f>IF(Women[[#This Row],[PR Rang beim letzten Turnier]]&gt;Women[[#This Row],[PR Rang]],1,IF(Women[[#This Row],[PR Rang]]=Women[[#This Row],[PR Rang beim letzten Turnier]],0,-1))</f>
        <v>1</v>
      </c>
      <c r="C20" s="112">
        <f>RANK(Women[[#This Row],[PR Punkte]],Women[PR Punkte],0)</f>
        <v>14</v>
      </c>
      <c r="D20" s="27" t="s">
        <v>429</v>
      </c>
      <c r="E20" s="9" t="s">
        <v>18</v>
      </c>
      <c r="F20" s="177">
        <f>SUM(Women[[#This Row],[PR 1]:[PR 3]])</f>
        <v>281.2</v>
      </c>
      <c r="G20" s="109">
        <f>LARGE(Women[[#This Row],[TS SH O 22.02.22]:[PR3]],1)</f>
        <v>281.2</v>
      </c>
      <c r="H20" s="109">
        <f>LARGE(Women[[#This Row],[TS SH O 22.02.22]:[PR3]],2)</f>
        <v>0</v>
      </c>
      <c r="I20" s="109">
        <f>LARGE(Women[[#This Row],[TS SH O 22.02.22]:[PR3]],3)</f>
        <v>0</v>
      </c>
      <c r="J20" s="9">
        <f>RANK(K20,$K$7:$K$108,0)</f>
        <v>16</v>
      </c>
      <c r="K20" s="109">
        <f>SUM(L20:AA20)</f>
        <v>281.2</v>
      </c>
      <c r="L20" s="128" t="str">
        <f>IFERROR(VLOOKUP(Women[[#This Row],[TS SH O 22.02.22 Rang]],$AU$15:$AV$72,2,0)*L$5," ")</f>
        <v xml:space="preserve"> </v>
      </c>
      <c r="M20" s="109">
        <f>IFERROR(VLOOKUP(Women[[#This Row],[TS SH W 22.02.22 Rang]],$AR$15:$AS$72,2,0)*M$5," ")</f>
        <v>281.2</v>
      </c>
      <c r="N20" s="109" t="str">
        <f>IFERROR(VLOOKUP(Women[[#This Row],[TS LU W 12.03.22 Rang]],$AR$15:$AS$72,2,0)*N$5," ")</f>
        <v xml:space="preserve"> </v>
      </c>
      <c r="O20" s="128" t="str">
        <f>IFERROR(VLOOKUP(Women[[#This Row],[TS SH O 23.04.22 Rang]],$AU$15:$AV$72,2,0)*O$5," ")</f>
        <v xml:space="preserve"> </v>
      </c>
      <c r="P20" s="177" t="str">
        <f>IFERROR(VLOOKUP(Women[[#This Row],[TS LA W 08.05.22 Rang]],$AR$15:$AS$72,2,0)*P$5," ")</f>
        <v xml:space="preserve"> </v>
      </c>
      <c r="Q20" s="128" t="str">
        <f>IFERROR(VLOOKUP(Women[[#This Row],[TS SG O 25.05.22 Rang]],$AU$15:$AV$72,2,0)*Q$5," ")</f>
        <v xml:space="preserve"> </v>
      </c>
      <c r="R20" s="177" t="str">
        <f>IFERROR(VLOOKUP(Women[[#This Row],[TS SG W 25.05.22 Rang]],$AR$15:$AS$72,2,0)*R$5," ")</f>
        <v xml:space="preserve"> </v>
      </c>
      <c r="S20" s="128" t="str">
        <f>IFERROR(VLOOKUP(Women[[#This Row],[TS SH O 25.06.22 Rang]],$AU$15:$AV$72,2,0)*$S$5," ")</f>
        <v xml:space="preserve"> </v>
      </c>
      <c r="T20" s="177" t="str">
        <f>IFERROR(VLOOKUP(Women[[#This Row],[TS SH W 25.06.22 Rang]],$AR$15:$AS$72,2,0)*T$5," ")</f>
        <v xml:space="preserve"> </v>
      </c>
      <c r="U20" s="177" t="str">
        <f>IFERROR(VLOOKUP(Women[[#This Row],[TS ZH W 02.07.22 Rang]],$AR$15:$AS$72,2,0)*U$5," ")</f>
        <v xml:space="preserve"> </v>
      </c>
      <c r="V20" s="128" t="str">
        <f>IFERROR(VLOOKUP(Women[[#This Row],[SM BE O/A 09.07.22 Rang]],$AU$15:$AV$72,2,0)*V18," ")</f>
        <v xml:space="preserve"> </v>
      </c>
      <c r="W20" s="128" t="str">
        <f>IFERROR(VLOOKUP(Women[[#This Row],[SM BE O/B 09.07.22 Rang]],$AU$15:$AV$72,2,0)*$W$5," ")</f>
        <v xml:space="preserve"> </v>
      </c>
      <c r="X20" s="177" t="str">
        <f>IFERROR(VLOOKUP(Women[[#This Row],[SM BE W 09.07.22 Rang]],$AR$15:$AS$72,2,0)*X$5," ")</f>
        <v xml:space="preserve"> </v>
      </c>
      <c r="Y20" s="11">
        <v>0</v>
      </c>
      <c r="Z20" s="11">
        <v>0</v>
      </c>
      <c r="AA20" s="11">
        <v>0</v>
      </c>
      <c r="AB20" s="132"/>
      <c r="AC20" s="126">
        <v>2</v>
      </c>
      <c r="AD20" s="130"/>
      <c r="AE20" s="132"/>
      <c r="AF20" s="130"/>
      <c r="AG20" s="132"/>
      <c r="AH20" s="130"/>
      <c r="AI20" s="132"/>
      <c r="AJ20" s="130"/>
      <c r="AK20" s="130"/>
      <c r="AL20" s="132"/>
      <c r="AM20" s="132"/>
      <c r="AN20" s="130"/>
      <c r="AO20" s="16"/>
      <c r="AP20" s="16"/>
      <c r="AQ20" s="16"/>
      <c r="AR20" s="47">
        <v>5</v>
      </c>
      <c r="AS20" s="49">
        <v>40</v>
      </c>
      <c r="AT20" s="16"/>
      <c r="AU20" s="49">
        <v>5</v>
      </c>
      <c r="AV20" s="49">
        <v>290</v>
      </c>
      <c r="AW20" s="16"/>
      <c r="AY20" s="16"/>
      <c r="AZ20" s="16"/>
      <c r="BA20" s="16"/>
      <c r="BB20" s="39"/>
      <c r="BC20" s="46"/>
      <c r="BD20" s="46"/>
      <c r="BE20" s="16"/>
      <c r="BK20"/>
      <c r="BL20"/>
      <c r="BN20"/>
      <c r="BO20" s="16"/>
    </row>
    <row r="21" spans="1:67" s="4" customFormat="1" x14ac:dyDescent="0.2">
      <c r="A21" s="112">
        <v>17</v>
      </c>
      <c r="B21" s="17">
        <f>IF(Women[[#This Row],[PR Rang beim letzten Turnier]]&gt;Women[[#This Row],[PR Rang]],1,IF(Women[[#This Row],[PR Rang]]=Women[[#This Row],[PR Rang beim letzten Turnier]],0,-1))</f>
        <v>1</v>
      </c>
      <c r="C21" s="112">
        <f>RANK(Women[[#This Row],[PR Punkte]],Women[PR Punkte],0)</f>
        <v>14</v>
      </c>
      <c r="D21" s="27" t="s">
        <v>316</v>
      </c>
      <c r="E21" s="9" t="s">
        <v>18</v>
      </c>
      <c r="F21" s="177">
        <f>SUM(Women[[#This Row],[PR 1]:[PR 3]])</f>
        <v>281.2</v>
      </c>
      <c r="G21" s="109">
        <f>LARGE(Women[[#This Row],[TS SH O 22.02.22]:[PR3]],1)</f>
        <v>281.2</v>
      </c>
      <c r="H21" s="109">
        <f>LARGE(Women[[#This Row],[TS SH O 22.02.22]:[PR3]],2)</f>
        <v>0</v>
      </c>
      <c r="I21" s="109">
        <f>LARGE(Women[[#This Row],[TS SH O 22.02.22]:[PR3]],3)</f>
        <v>0</v>
      </c>
      <c r="J21" s="9">
        <f>RANK(K21,$K$7:$K$108,0)</f>
        <v>16</v>
      </c>
      <c r="K21" s="109">
        <f>SUM(L21:AA21)</f>
        <v>281.2</v>
      </c>
      <c r="L21" s="128" t="str">
        <f>IFERROR(VLOOKUP(Women[[#This Row],[TS SH O 22.02.22 Rang]],$AU$15:$AV$72,2,0)*L$5," ")</f>
        <v xml:space="preserve"> </v>
      </c>
      <c r="M21" s="109">
        <f>IFERROR(VLOOKUP(Women[[#This Row],[TS SH W 22.02.22 Rang]],$AR$15:$AS$72,2,0)*M$5," ")</f>
        <v>281.2</v>
      </c>
      <c r="N21" s="109" t="str">
        <f>IFERROR(VLOOKUP(Women[[#This Row],[TS LU W 12.03.22 Rang]],$AR$15:$AS$72,2,0)*N$5," ")</f>
        <v xml:space="preserve"> </v>
      </c>
      <c r="O21" s="128" t="str">
        <f>IFERROR(VLOOKUP(Women[[#This Row],[TS SH O 23.04.22 Rang]],$AU$15:$AV$72,2,0)*O$5," ")</f>
        <v xml:space="preserve"> </v>
      </c>
      <c r="P21" s="177" t="str">
        <f>IFERROR(VLOOKUP(Women[[#This Row],[TS LA W 08.05.22 Rang]],$AR$15:$AS$72,2,0)*P$5," ")</f>
        <v xml:space="preserve"> </v>
      </c>
      <c r="Q21" s="128" t="str">
        <f>IFERROR(VLOOKUP(Women[[#This Row],[TS SG O 25.05.22 Rang]],$AU$15:$AV$72,2,0)*Q$5," ")</f>
        <v xml:space="preserve"> </v>
      </c>
      <c r="R21" s="177" t="str">
        <f>IFERROR(VLOOKUP(Women[[#This Row],[TS SG W 25.05.22 Rang]],$AR$15:$AS$72,2,0)*R$5," ")</f>
        <v xml:space="preserve"> </v>
      </c>
      <c r="S21" s="128" t="str">
        <f>IFERROR(VLOOKUP(Women[[#This Row],[TS SH O 25.06.22 Rang]],$AU$15:$AV$72,2,0)*$S$5," ")</f>
        <v xml:space="preserve"> </v>
      </c>
      <c r="T21" s="177" t="str">
        <f>IFERROR(VLOOKUP(Women[[#This Row],[TS SH W 25.06.22 Rang]],$AR$15:$AS$72,2,0)*T$5," ")</f>
        <v xml:space="preserve"> </v>
      </c>
      <c r="U21" s="177" t="str">
        <f>IFERROR(VLOOKUP(Women[[#This Row],[TS ZH W 02.07.22 Rang]],$AR$15:$AS$72,2,0)*U$5," ")</f>
        <v xml:space="preserve"> </v>
      </c>
      <c r="V21" s="128" t="str">
        <f>IFERROR(VLOOKUP(Women[[#This Row],[SM BE O/A 09.07.22 Rang]],$AU$15:$AV$72,2,0)*V19," ")</f>
        <v xml:space="preserve"> </v>
      </c>
      <c r="W21" s="128" t="str">
        <f>IFERROR(VLOOKUP(Women[[#This Row],[SM BE O/B 09.07.22 Rang]],$AU$15:$AV$72,2,0)*$W$5," ")</f>
        <v xml:space="preserve"> </v>
      </c>
      <c r="X21" s="177" t="str">
        <f>IFERROR(VLOOKUP(Women[[#This Row],[SM BE W 09.07.22 Rang]],$AR$15:$AS$72,2,0)*X$5," ")</f>
        <v xml:space="preserve"> </v>
      </c>
      <c r="Y21" s="11">
        <v>0</v>
      </c>
      <c r="Z21" s="11">
        <v>0</v>
      </c>
      <c r="AA21" s="11">
        <v>0</v>
      </c>
      <c r="AB21" s="131"/>
      <c r="AC21" s="121">
        <v>2</v>
      </c>
      <c r="AD21" s="129"/>
      <c r="AE21" s="131"/>
      <c r="AF21" s="129"/>
      <c r="AG21" s="131"/>
      <c r="AH21" s="129"/>
      <c r="AI21" s="131"/>
      <c r="AJ21" s="129"/>
      <c r="AK21" s="129"/>
      <c r="AL21" s="131"/>
      <c r="AM21" s="131"/>
      <c r="AN21" s="129"/>
      <c r="AO21" s="16"/>
      <c r="AP21" s="16"/>
      <c r="AQ21" s="16"/>
      <c r="AR21" s="47">
        <v>6</v>
      </c>
      <c r="AS21" s="49">
        <v>35</v>
      </c>
      <c r="AT21" s="16"/>
      <c r="AU21" s="49">
        <v>6</v>
      </c>
      <c r="AV21" s="49">
        <v>245</v>
      </c>
      <c r="AW21" s="16"/>
      <c r="AY21" s="16"/>
      <c r="AZ21" s="16"/>
      <c r="BA21" s="16"/>
      <c r="BB21" s="46"/>
      <c r="BC21" s="46"/>
      <c r="BD21" s="46"/>
      <c r="BE21" s="16"/>
      <c r="BK21"/>
      <c r="BL21"/>
      <c r="BN21"/>
      <c r="BO21" s="16"/>
    </row>
    <row r="22" spans="1:67" s="4" customFormat="1" x14ac:dyDescent="0.2">
      <c r="A22" s="112">
        <v>71</v>
      </c>
      <c r="B22" s="17">
        <f>IF(Women[[#This Row],[PR Rang beim letzten Turnier]]&gt;Women[[#This Row],[PR Rang]],1,IF(Women[[#This Row],[PR Rang]]=Women[[#This Row],[PR Rang beim letzten Turnier]],0,-1))</f>
        <v>1</v>
      </c>
      <c r="C22" s="112">
        <f>RANK(Women[[#This Row],[PR Punkte]],Women[PR Punkte],0)</f>
        <v>16</v>
      </c>
      <c r="D22" s="13" t="s">
        <v>471</v>
      </c>
      <c r="E22" s="11" t="s">
        <v>0</v>
      </c>
      <c r="F22" s="109">
        <f>SUM(Women[[#This Row],[PR 1]:[PR 3]])</f>
        <v>251.6</v>
      </c>
      <c r="G22" s="109">
        <f>LARGE(Women[[#This Row],[TS SH O 22.02.22]:[PR3]],1)</f>
        <v>182</v>
      </c>
      <c r="H22" s="109">
        <f>LARGE(Women[[#This Row],[TS SH O 22.02.22]:[PR3]],2)</f>
        <v>35.200000000000003</v>
      </c>
      <c r="I22" s="109">
        <f>LARGE(Women[[#This Row],[TS SH O 22.02.22]:[PR3]],3)</f>
        <v>34.4</v>
      </c>
      <c r="J22" s="11">
        <f>RANK(K22,$K$7:$K$108,0)</f>
        <v>18</v>
      </c>
      <c r="K22" s="109">
        <f>SUM(L22:AA22)</f>
        <v>251.60000000000002</v>
      </c>
      <c r="L22" s="128" t="str">
        <f>IFERROR(VLOOKUP(Women[[#This Row],[TS SH O 22.02.22 Rang]],$AU$15:$AV$72,2,0)*L$5," ")</f>
        <v xml:space="preserve"> </v>
      </c>
      <c r="M22" s="109" t="str">
        <f>IFERROR(VLOOKUP(Women[[#This Row],[TS SH W 22.02.22 Rang]],$AR$15:$AS$72,2,0)*M$5," ")</f>
        <v xml:space="preserve"> </v>
      </c>
      <c r="N22" s="109">
        <f>IFERROR(VLOOKUP(Women[[#This Row],[TS LU W 12.03.22 Rang]],$AR$15:$AS$72,2,0)*N$5," ")</f>
        <v>34.4</v>
      </c>
      <c r="O22" s="128" t="str">
        <f>IFERROR(VLOOKUP(Women[[#This Row],[TS SH O 23.04.22 Rang]],$AU$15:$AV$72,2,0)*O$5," ")</f>
        <v xml:space="preserve"> </v>
      </c>
      <c r="P22" s="177" t="str">
        <f>IFERROR(VLOOKUP(Women[[#This Row],[TS LA W 08.05.22 Rang]],$AR$15:$AS$72,2,0)*P$5," ")</f>
        <v xml:space="preserve"> </v>
      </c>
      <c r="Q22" s="128" t="str">
        <f>IFERROR(VLOOKUP(Women[[#This Row],[TS SG O 25.05.22 Rang]],$AU$15:$AV$72,2,0)*Q$5," ")</f>
        <v xml:space="preserve"> </v>
      </c>
      <c r="R22" s="177" t="str">
        <f>IFERROR(VLOOKUP(Women[[#This Row],[TS SG W 25.05.22 Rang]],$AR$15:$AS$72,2,0)*R$5," ")</f>
        <v xml:space="preserve"> </v>
      </c>
      <c r="S22" s="128" t="str">
        <f>IFERROR(VLOOKUP(Women[[#This Row],[TS SH O 25.06.22 Rang]],$AU$15:$AV$72,2,0)*$S$5," ")</f>
        <v xml:space="preserve"> </v>
      </c>
      <c r="T22" s="177" t="str">
        <f>IFERROR(VLOOKUP(Women[[#This Row],[TS SH W 25.06.22 Rang]],$AR$15:$AS$72,2,0)*T$5," ")</f>
        <v xml:space="preserve"> </v>
      </c>
      <c r="U22" s="177">
        <f>IFERROR(VLOOKUP(Women[[#This Row],[TS ZH W 02.07.22 Rang]],$AR$15:$AS$72,2,0)*U$5," ")</f>
        <v>182</v>
      </c>
      <c r="V22" s="128" t="str">
        <f>IFERROR(VLOOKUP(Women[[#This Row],[SM BE O/A 09.07.22 Rang]],$AU$15:$AV$72,2,0)*V20," ")</f>
        <v xml:space="preserve"> </v>
      </c>
      <c r="W22" s="128" t="str">
        <f>IFERROR(VLOOKUP(Women[[#This Row],[SM BE O/B 09.07.22 Rang]],$AU$15:$AV$72,2,0)*$W$5," ")</f>
        <v xml:space="preserve"> </v>
      </c>
      <c r="X22" s="177">
        <f>IFERROR(VLOOKUP(Women[[#This Row],[SM BE W 09.07.22 Rang]],$AR$15:$AS$72,2,0)*X$5," ")</f>
        <v>35.200000000000003</v>
      </c>
      <c r="Y22" s="11">
        <v>0</v>
      </c>
      <c r="Z22" s="11">
        <v>0</v>
      </c>
      <c r="AA22" s="11">
        <v>0</v>
      </c>
      <c r="AB22" s="131"/>
      <c r="AC22" s="129"/>
      <c r="AD22" s="129">
        <v>12</v>
      </c>
      <c r="AE22" s="131"/>
      <c r="AF22" s="129"/>
      <c r="AG22" s="131"/>
      <c r="AH22" s="129"/>
      <c r="AI22" s="131"/>
      <c r="AJ22" s="129"/>
      <c r="AK22" s="129">
        <v>3</v>
      </c>
      <c r="AL22" s="131"/>
      <c r="AM22" s="131"/>
      <c r="AN22" s="129">
        <v>13</v>
      </c>
      <c r="AO22" s="16"/>
      <c r="AP22" s="16"/>
      <c r="AQ22" s="16"/>
      <c r="AR22" s="47">
        <v>7</v>
      </c>
      <c r="AS22" s="49">
        <v>30</v>
      </c>
      <c r="AT22" s="16"/>
      <c r="AU22" s="49">
        <v>7</v>
      </c>
      <c r="AV22" s="49">
        <v>200</v>
      </c>
      <c r="AW22" s="16"/>
      <c r="BB22" s="46"/>
      <c r="BC22" s="46"/>
      <c r="BD22" s="46"/>
      <c r="BE22" s="16"/>
      <c r="BK22"/>
      <c r="BL22"/>
      <c r="BN22"/>
      <c r="BO22" s="16"/>
    </row>
    <row r="23" spans="1:67" s="4" customFormat="1" x14ac:dyDescent="0.2">
      <c r="A23" s="112">
        <v>23</v>
      </c>
      <c r="B23" s="17">
        <f>IF(Women[[#This Row],[PR Rang beim letzten Turnier]]&gt;Women[[#This Row],[PR Rang]],1,IF(Women[[#This Row],[PR Rang]]=Women[[#This Row],[PR Rang beim letzten Turnier]],0,-1))</f>
        <v>1</v>
      </c>
      <c r="C23" s="112">
        <f>RANK(Women[[#This Row],[PR Punkte]],Women[PR Punkte],0)</f>
        <v>17</v>
      </c>
      <c r="D23" s="17" t="s">
        <v>41</v>
      </c>
      <c r="E23" s="9" t="s">
        <v>8</v>
      </c>
      <c r="F23" s="109">
        <f>SUM(Women[[#This Row],[PR 1]:[PR 3]])</f>
        <v>250.4</v>
      </c>
      <c r="G23" s="109">
        <f>LARGE(Women[[#This Row],[TS SH O 22.02.22]:[PR3]],1)</f>
        <v>144.4</v>
      </c>
      <c r="H23" s="109">
        <f>LARGE(Women[[#This Row],[TS SH O 22.02.22]:[PR3]],2)</f>
        <v>61.6</v>
      </c>
      <c r="I23" s="109">
        <f>LARGE(Women[[#This Row],[TS SH O 22.02.22]:[PR3]],3)</f>
        <v>44.4</v>
      </c>
      <c r="J23" s="9">
        <f>RANK(K23,$K$7:$K$108,0)</f>
        <v>15</v>
      </c>
      <c r="K23" s="109">
        <f>SUM(L23:AA23)</f>
        <v>284.8</v>
      </c>
      <c r="L23" s="128" t="str">
        <f>IFERROR(VLOOKUP(Women[[#This Row],[TS SH O 22.02.22 Rang]],$AU$15:$AV$72,2,0)*L$5," ")</f>
        <v xml:space="preserve"> </v>
      </c>
      <c r="M23" s="109" t="str">
        <f>IFERROR(VLOOKUP(Women[[#This Row],[TS SH W 22.02.22 Rang]],$AR$15:$AS$72,2,0)*M$5," ")</f>
        <v xml:space="preserve"> </v>
      </c>
      <c r="N23" s="109">
        <f>IFERROR(VLOOKUP(Women[[#This Row],[TS LU W 12.03.22 Rang]],$AR$15:$AS$72,2,0)*N$5," ")</f>
        <v>34.4</v>
      </c>
      <c r="O23" s="128" t="str">
        <f>IFERROR(VLOOKUP(Women[[#This Row],[TS SH O 23.04.22 Rang]],$AU$15:$AV$72,2,0)*O$5," ")</f>
        <v xml:space="preserve"> </v>
      </c>
      <c r="P23" s="177" t="str">
        <f>IFERROR(VLOOKUP(Women[[#This Row],[TS LA W 08.05.22 Rang]],$AR$15:$AS$72,2,0)*P$5," ")</f>
        <v xml:space="preserve"> </v>
      </c>
      <c r="Q23" s="128">
        <f>IFERROR(VLOOKUP(Women[[#This Row],[TS SG O 25.05.22 Rang]],$AU$15:$AV$72,2,0)*Q$5," ")</f>
        <v>44.4</v>
      </c>
      <c r="R23" s="177" t="str">
        <f>IFERROR(VLOOKUP(Women[[#This Row],[TS SG W 25.05.22 Rang]],$AR$15:$AS$72,2,0)*R$5," ")</f>
        <v xml:space="preserve"> </v>
      </c>
      <c r="S23" s="128" t="str">
        <f>IFERROR(VLOOKUP(Women[[#This Row],[TS SH O 25.06.22 Rang]],$AU$15:$AV$72,2,0)*$S$5," ")</f>
        <v xml:space="preserve"> </v>
      </c>
      <c r="T23" s="177">
        <f>IFERROR(VLOOKUP(Women[[#This Row],[TS SH W 25.06.22 Rang]],$AR$15:$AS$72,2,0)*T$5," ")</f>
        <v>144.4</v>
      </c>
      <c r="U23" s="177" t="str">
        <f>IFERROR(VLOOKUP(Women[[#This Row],[TS ZH W 02.07.22 Rang]],$AR$15:$AS$72,2,0)*U$5," ")</f>
        <v xml:space="preserve"> </v>
      </c>
      <c r="V23" s="128" t="str">
        <f>IFERROR(VLOOKUP(Women[[#This Row],[SM BE O/A 09.07.22 Rang]],$AU$15:$AV$72,2,0)*V21," ")</f>
        <v xml:space="preserve"> </v>
      </c>
      <c r="W23" s="128" t="str">
        <f>IFERROR(VLOOKUP(Women[[#This Row],[SM BE O/B 09.07.22 Rang]],$AU$15:$AV$72,2,0)*$W$5," ")</f>
        <v xml:space="preserve"> </v>
      </c>
      <c r="X23" s="177">
        <f>IFERROR(VLOOKUP(Women[[#This Row],[SM BE W 09.07.22 Rang]],$AR$15:$AS$72,2,0)*X$5," ")</f>
        <v>61.6</v>
      </c>
      <c r="Y23" s="11">
        <v>0</v>
      </c>
      <c r="Z23" s="11">
        <v>0</v>
      </c>
      <c r="AA23" s="11">
        <v>0</v>
      </c>
      <c r="AB23" s="131"/>
      <c r="AC23" s="129"/>
      <c r="AD23" s="129">
        <v>10</v>
      </c>
      <c r="AE23" s="131"/>
      <c r="AF23" s="129"/>
      <c r="AG23" s="131">
        <v>19</v>
      </c>
      <c r="AH23" s="129"/>
      <c r="AI23" s="131"/>
      <c r="AJ23" s="129">
        <v>4</v>
      </c>
      <c r="AK23" s="129"/>
      <c r="AL23" s="131"/>
      <c r="AM23" s="131"/>
      <c r="AN23" s="129">
        <v>6</v>
      </c>
      <c r="AO23" s="16"/>
      <c r="AP23" s="16"/>
      <c r="AQ23" s="16"/>
      <c r="AR23" s="47">
        <v>8</v>
      </c>
      <c r="AS23" s="49">
        <v>25</v>
      </c>
      <c r="AT23" s="16"/>
      <c r="AU23" s="49">
        <v>8</v>
      </c>
      <c r="AV23" s="49">
        <v>155</v>
      </c>
      <c r="AW23" s="16"/>
      <c r="BB23" s="46"/>
      <c r="BC23" s="46"/>
      <c r="BD23" s="46"/>
      <c r="BE23" s="16"/>
      <c r="BK23"/>
      <c r="BL23"/>
      <c r="BN23"/>
      <c r="BO23" s="16"/>
    </row>
    <row r="24" spans="1:67" s="4" customFormat="1" x14ac:dyDescent="0.2">
      <c r="A24" s="112">
        <v>22</v>
      </c>
      <c r="B24" s="17">
        <f>IF(Women[[#This Row],[PR Rang beim letzten Turnier]]&gt;Women[[#This Row],[PR Rang]],1,IF(Women[[#This Row],[PR Rang]]=Women[[#This Row],[PR Rang beim letzten Turnier]],0,-1))</f>
        <v>1</v>
      </c>
      <c r="C24" s="112">
        <f>RANK(Women[[#This Row],[PR Punkte]],Women[PR Punkte],0)</f>
        <v>18</v>
      </c>
      <c r="D24" s="17" t="s">
        <v>294</v>
      </c>
      <c r="E24" s="9" t="s">
        <v>0</v>
      </c>
      <c r="F24" s="109">
        <f>SUM(Women[[#This Row],[PR 1]:[PR 3]])</f>
        <v>249.5</v>
      </c>
      <c r="G24" s="109">
        <f>LARGE(Women[[#This Row],[TS SH O 22.02.22]:[PR3]],1)</f>
        <v>146.30000000000001</v>
      </c>
      <c r="H24" s="109">
        <f>LARGE(Women[[#This Row],[TS SH O 22.02.22]:[PR3]],2)</f>
        <v>59.2</v>
      </c>
      <c r="I24" s="109">
        <f>LARGE(Women[[#This Row],[TS SH O 22.02.22]:[PR3]],3)</f>
        <v>44</v>
      </c>
      <c r="J24" s="9">
        <f>RANK(K24,$K$7:$K$108,0)</f>
        <v>19</v>
      </c>
      <c r="K24" s="109">
        <f>SUM(L24:AA24)</f>
        <v>249.5</v>
      </c>
      <c r="L24" s="128" t="str">
        <f>IFERROR(VLOOKUP(Women[[#This Row],[TS SH O 22.02.22 Rang]],$AU$15:$AV$72,2,0)*L$5," ")</f>
        <v xml:space="preserve"> </v>
      </c>
      <c r="M24" s="109" t="str">
        <f>IFERROR(VLOOKUP(Women[[#This Row],[TS SH W 22.02.22 Rang]],$AR$15:$AS$72,2,0)*M$5," ")</f>
        <v xml:space="preserve"> </v>
      </c>
      <c r="N24" s="109" t="str">
        <f>IFERROR(VLOOKUP(Women[[#This Row],[TS LU W 12.03.22 Rang]],$AR$15:$AS$72,2,0)*N$5," ")</f>
        <v xml:space="preserve"> </v>
      </c>
      <c r="O24" s="128" t="str">
        <f>IFERROR(VLOOKUP(Women[[#This Row],[TS SH O 23.04.22 Rang]],$AU$15:$AV$72,2,0)*O$5," ")</f>
        <v xml:space="preserve"> </v>
      </c>
      <c r="P24" s="177">
        <f>IFERROR(VLOOKUP(Women[[#This Row],[TS LA W 08.05.22 Rang]],$AR$15:$AS$72,2,0)*P$5," ")</f>
        <v>59.2</v>
      </c>
      <c r="Q24" s="128" t="str">
        <f>IFERROR(VLOOKUP(Women[[#This Row],[TS SG O 25.05.22 Rang]],$AU$15:$AV$72,2,0)*Q$5," ")</f>
        <v xml:space="preserve"> </v>
      </c>
      <c r="R24" s="177">
        <f>IFERROR(VLOOKUP(Women[[#This Row],[TS SG W 25.05.22 Rang]],$AR$15:$AS$72,2,0)*R$5," ")</f>
        <v>146.30000000000001</v>
      </c>
      <c r="S24" s="128" t="str">
        <f>IFERROR(VLOOKUP(Women[[#This Row],[TS SH O 25.06.22 Rang]],$AU$15:$AV$72,2,0)*$S$5," ")</f>
        <v xml:space="preserve"> </v>
      </c>
      <c r="T24" s="177" t="str">
        <f>IFERROR(VLOOKUP(Women[[#This Row],[TS SH W 25.06.22 Rang]],$AR$15:$AS$72,2,0)*T$5," ")</f>
        <v xml:space="preserve"> </v>
      </c>
      <c r="U24" s="177" t="str">
        <f>IFERROR(VLOOKUP(Women[[#This Row],[TS ZH W 02.07.22 Rang]],$AR$15:$AS$72,2,0)*U$5," ")</f>
        <v xml:space="preserve"> </v>
      </c>
      <c r="V24" s="128" t="str">
        <f>IFERROR(VLOOKUP(Women[[#This Row],[SM BE O/A 09.07.22 Rang]],$AU$15:$AV$72,2,0)*V22," ")</f>
        <v xml:space="preserve"> </v>
      </c>
      <c r="W24" s="128" t="str">
        <f>IFERROR(VLOOKUP(Women[[#This Row],[SM BE O/B 09.07.22 Rang]],$AU$15:$AV$72,2,0)*$W$5," ")</f>
        <v xml:space="preserve"> </v>
      </c>
      <c r="X24" s="177">
        <f>IFERROR(VLOOKUP(Women[[#This Row],[SM BE W 09.07.22 Rang]],$AR$15:$AS$72,2,0)*X$5," ")</f>
        <v>44</v>
      </c>
      <c r="Y24" s="11">
        <v>0</v>
      </c>
      <c r="Z24" s="11">
        <v>0</v>
      </c>
      <c r="AA24" s="11">
        <v>0</v>
      </c>
      <c r="AB24" s="131"/>
      <c r="AC24" s="129"/>
      <c r="AD24" s="129"/>
      <c r="AE24" s="131"/>
      <c r="AF24" s="129">
        <v>5</v>
      </c>
      <c r="AG24" s="131"/>
      <c r="AH24" s="129">
        <v>4</v>
      </c>
      <c r="AI24" s="131"/>
      <c r="AJ24" s="129"/>
      <c r="AK24" s="129"/>
      <c r="AL24" s="131"/>
      <c r="AM24" s="131"/>
      <c r="AN24" s="122">
        <v>8</v>
      </c>
      <c r="AO24" s="16"/>
      <c r="AP24" s="16"/>
      <c r="AQ24" s="16"/>
      <c r="AR24" s="47">
        <v>9</v>
      </c>
      <c r="AS24" s="49">
        <v>20</v>
      </c>
      <c r="AT24" s="16"/>
      <c r="AU24" s="49">
        <v>9</v>
      </c>
      <c r="AV24" s="49">
        <v>100</v>
      </c>
      <c r="AW24" s="16"/>
      <c r="BB24" s="46"/>
      <c r="BC24" s="43"/>
      <c r="BD24" s="46"/>
      <c r="BE24" s="16"/>
      <c r="BK24"/>
      <c r="BL24"/>
      <c r="BN24"/>
      <c r="BO24" s="16"/>
    </row>
    <row r="25" spans="1:67" s="4" customFormat="1" x14ac:dyDescent="0.2">
      <c r="A25" s="112">
        <v>21</v>
      </c>
      <c r="B25" s="17">
        <f>IF(Women[[#This Row],[PR Rang beim letzten Turnier]]&gt;Women[[#This Row],[PR Rang]],1,IF(Women[[#This Row],[PR Rang]]=Women[[#This Row],[PR Rang beim letzten Turnier]],0,-1))</f>
        <v>1</v>
      </c>
      <c r="C25" s="112">
        <f>RANK(Women[[#This Row],[PR Punkte]],Women[PR Punkte],0)</f>
        <v>19</v>
      </c>
      <c r="D25" s="17" t="s">
        <v>199</v>
      </c>
      <c r="E25" s="9" t="s">
        <v>0</v>
      </c>
      <c r="F25" s="177">
        <f>SUM(Women[[#This Row],[PR 1]:[PR 3]])</f>
        <v>236</v>
      </c>
      <c r="G25" s="109">
        <f>LARGE(Women[[#This Row],[TS SH O 22.02.22]:[PR3]],1)</f>
        <v>167.2</v>
      </c>
      <c r="H25" s="109">
        <f>LARGE(Women[[#This Row],[TS SH O 22.02.22]:[PR3]],2)</f>
        <v>68.8</v>
      </c>
      <c r="I25" s="109">
        <f>LARGE(Women[[#This Row],[TS SH O 22.02.22]:[PR3]],3)</f>
        <v>0</v>
      </c>
      <c r="J25" s="9">
        <f>RANK(K25,$K$7:$K$108,0)</f>
        <v>21</v>
      </c>
      <c r="K25" s="109">
        <f>SUM(L25:AA25)</f>
        <v>236</v>
      </c>
      <c r="L25" s="128" t="str">
        <f>IFERROR(VLOOKUP(Women[[#This Row],[TS SH O 22.02.22 Rang]],$AU$15:$AV$72,2,0)*L$5," ")</f>
        <v xml:space="preserve"> </v>
      </c>
      <c r="M25" s="109" t="str">
        <f>IFERROR(VLOOKUP(Women[[#This Row],[TS SH W 22.02.22 Rang]],$AR$15:$AS$72,2,0)*M$5," ")</f>
        <v xml:space="preserve"> </v>
      </c>
      <c r="N25" s="109">
        <f>IFERROR(VLOOKUP(Women[[#This Row],[TS LU W 12.03.22 Rang]],$AR$15:$AS$72,2,0)*N$5," ")</f>
        <v>68.8</v>
      </c>
      <c r="O25" s="128" t="str">
        <f>IFERROR(VLOOKUP(Women[[#This Row],[TS SH O 23.04.22 Rang]],$AU$15:$AV$72,2,0)*O$5," ")</f>
        <v xml:space="preserve"> </v>
      </c>
      <c r="P25" s="177" t="str">
        <f>IFERROR(VLOOKUP(Women[[#This Row],[TS LA W 08.05.22 Rang]],$AR$15:$AS$72,2,0)*P$5," ")</f>
        <v xml:space="preserve"> </v>
      </c>
      <c r="Q25" s="128" t="str">
        <f>IFERROR(VLOOKUP(Women[[#This Row],[TS SG O 25.05.22 Rang]],$AU$15:$AV$72,2,0)*Q$5," ")</f>
        <v xml:space="preserve"> </v>
      </c>
      <c r="R25" s="177" t="str">
        <f>IFERROR(VLOOKUP(Women[[#This Row],[TS SG W 25.05.22 Rang]],$AR$15:$AS$72,2,0)*R$5," ")</f>
        <v xml:space="preserve"> </v>
      </c>
      <c r="S25" s="128" t="str">
        <f>IFERROR(VLOOKUP(Women[[#This Row],[TS SH O 25.06.22 Rang]],$AU$15:$AV$72,2,0)*$S$5," ")</f>
        <v xml:space="preserve"> </v>
      </c>
      <c r="T25" s="177" t="str">
        <f>IFERROR(VLOOKUP(Women[[#This Row],[TS SH W 25.06.22 Rang]],$AR$15:$AS$72,2,0)*T$5," ")</f>
        <v xml:space="preserve"> </v>
      </c>
      <c r="U25" s="177" t="str">
        <f>IFERROR(VLOOKUP(Women[[#This Row],[TS ZH W 02.07.22 Rang]],$AR$15:$AS$72,2,0)*U$5," ")</f>
        <v xml:space="preserve"> </v>
      </c>
      <c r="V25" s="128" t="str">
        <f>IFERROR(VLOOKUP(Women[[#This Row],[SM BE O/A 09.07.22 Rang]],$AU$15:$AV$72,2,0)*V23," ")</f>
        <v xml:space="preserve"> </v>
      </c>
      <c r="W25" s="128" t="str">
        <f>IFERROR(VLOOKUP(Women[[#This Row],[SM BE O/B 09.07.22 Rang]],$AU$15:$AV$72,2,0)*$W$5," ")</f>
        <v xml:space="preserve"> </v>
      </c>
      <c r="X25" s="177">
        <f>IFERROR(VLOOKUP(Women[[#This Row],[SM BE W 09.07.22 Rang]],$AR$15:$AS$72,2,0)*X$5," ")</f>
        <v>167.2</v>
      </c>
      <c r="Y25" s="11">
        <v>0</v>
      </c>
      <c r="Z25" s="11">
        <v>0</v>
      </c>
      <c r="AA25" s="11">
        <v>0</v>
      </c>
      <c r="AB25" s="132"/>
      <c r="AC25" s="130"/>
      <c r="AD25" s="127">
        <v>5</v>
      </c>
      <c r="AE25" s="132"/>
      <c r="AF25" s="130"/>
      <c r="AG25" s="132"/>
      <c r="AH25" s="130"/>
      <c r="AI25" s="132"/>
      <c r="AJ25" s="130"/>
      <c r="AK25" s="130"/>
      <c r="AL25" s="132"/>
      <c r="AM25" s="132"/>
      <c r="AN25" s="127">
        <v>4</v>
      </c>
      <c r="AO25" s="16"/>
      <c r="AP25" s="16"/>
      <c r="AQ25" s="16"/>
      <c r="AR25" s="47">
        <v>10</v>
      </c>
      <c r="AS25" s="49">
        <v>20</v>
      </c>
      <c r="AT25" s="16"/>
      <c r="AU25" s="49">
        <v>10</v>
      </c>
      <c r="AV25" s="49">
        <v>100</v>
      </c>
      <c r="AW25" s="16"/>
      <c r="BB25" s="46"/>
      <c r="BC25" s="43"/>
      <c r="BD25" s="46"/>
      <c r="BE25" s="16"/>
      <c r="BN25"/>
      <c r="BO25" s="16"/>
    </row>
    <row r="26" spans="1:67" s="4" customFormat="1" x14ac:dyDescent="0.2">
      <c r="A26" s="112">
        <v>30</v>
      </c>
      <c r="B26" s="17">
        <f>IF(Women[[#This Row],[PR Rang beim letzten Turnier]]&gt;Women[[#This Row],[PR Rang]],1,IF(Women[[#This Row],[PR Rang]]=Women[[#This Row],[PR Rang beim letzten Turnier]],0,-1))</f>
        <v>1</v>
      </c>
      <c r="C26" s="112">
        <f>RANK(Women[[#This Row],[PR Punkte]],Women[PR Punkte],0)</f>
        <v>20</v>
      </c>
      <c r="D26" s="8" t="s">
        <v>166</v>
      </c>
      <c r="E26" s="9" t="s">
        <v>16</v>
      </c>
      <c r="F26" s="109">
        <f>SUM(Women[[#This Row],[PR 1]:[PR 3]])</f>
        <v>221.5</v>
      </c>
      <c r="G26" s="109">
        <f>LARGE(Women[[#This Row],[TS SH O 22.02.22]:[PR3]],1)</f>
        <v>123.5</v>
      </c>
      <c r="H26" s="109">
        <f>LARGE(Women[[#This Row],[TS SH O 22.02.22]:[PR3]],2)</f>
        <v>51.8</v>
      </c>
      <c r="I26" s="109">
        <f>LARGE(Women[[#This Row],[TS SH O 22.02.22]:[PR3]],3)</f>
        <v>46.2</v>
      </c>
      <c r="J26" s="9">
        <f>RANK(K26,$K$7:$K$108,0)</f>
        <v>14</v>
      </c>
      <c r="K26" s="109">
        <f>SUM(L26:AA26)</f>
        <v>327.9</v>
      </c>
      <c r="L26" s="128" t="str">
        <f>IFERROR(VLOOKUP(Women[[#This Row],[TS SH O 22.02.22 Rang]],$AU$15:$AV$72,2,0)*L$5," ")</f>
        <v xml:space="preserve"> </v>
      </c>
      <c r="M26" s="109" t="str">
        <f>IFERROR(VLOOKUP(Women[[#This Row],[TS SH W 22.02.22 Rang]],$AR$15:$AS$72,2,0)*M$5," ")</f>
        <v xml:space="preserve"> </v>
      </c>
      <c r="N26" s="109">
        <f>IFERROR(VLOOKUP(Women[[#This Row],[TS LU W 12.03.22 Rang]],$AR$15:$AS$72,2,0)*N$5," ")</f>
        <v>34.4</v>
      </c>
      <c r="O26" s="128">
        <f>IFERROR(VLOOKUP(Women[[#This Row],[TS SH O 23.04.22 Rang]],$AU$15:$AV$72,2,0)*O$5," ")</f>
        <v>46.2</v>
      </c>
      <c r="P26" s="177">
        <f>IFERROR(VLOOKUP(Women[[#This Row],[TS LA W 08.05.22 Rang]],$AR$15:$AS$72,2,0)*P$5," ")</f>
        <v>51.8</v>
      </c>
      <c r="Q26" s="128" t="str">
        <f>IFERROR(VLOOKUP(Women[[#This Row],[TS SG O 25.05.22 Rang]],$AU$15:$AV$72,2,0)*Q$5," ")</f>
        <v xml:space="preserve"> </v>
      </c>
      <c r="R26" s="177" t="str">
        <f>IFERROR(VLOOKUP(Women[[#This Row],[TS SG W 25.05.22 Rang]],$AR$15:$AS$72,2,0)*R$5," ")</f>
        <v xml:space="preserve"> </v>
      </c>
      <c r="S26" s="128" t="str">
        <f>IFERROR(VLOOKUP(Women[[#This Row],[TS SH O 25.06.22 Rang]],$AU$15:$AV$72,2,0)*$S$5," ")</f>
        <v xml:space="preserve"> </v>
      </c>
      <c r="T26" s="177">
        <f>IFERROR(VLOOKUP(Women[[#This Row],[TS SH W 25.06.22 Rang]],$AR$15:$AS$72,2,0)*T$5," ")</f>
        <v>45.6</v>
      </c>
      <c r="U26" s="177">
        <f>IFERROR(VLOOKUP(Women[[#This Row],[TS ZH W 02.07.22 Rang]],$AR$15:$AS$72,2,0)*U$5," ")</f>
        <v>123.5</v>
      </c>
      <c r="V26" s="128" t="str">
        <f>IFERROR(VLOOKUP(Women[[#This Row],[SM BE O/A 09.07.22 Rang]],$AU$15:$AV$72,2,0)*V24," ")</f>
        <v xml:space="preserve"> </v>
      </c>
      <c r="W26" s="128" t="str">
        <f>IFERROR(VLOOKUP(Women[[#This Row],[SM BE O/B 09.07.22 Rang]],$AU$15:$AV$72,2,0)*$W$5," ")</f>
        <v xml:space="preserve"> </v>
      </c>
      <c r="X26" s="177">
        <f>IFERROR(VLOOKUP(Women[[#This Row],[SM BE W 09.07.22 Rang]],$AR$15:$AS$72,2,0)*X$5," ")</f>
        <v>26.4</v>
      </c>
      <c r="Y26" s="11">
        <v>0</v>
      </c>
      <c r="Z26" s="11">
        <v>0</v>
      </c>
      <c r="AA26" s="11">
        <v>0</v>
      </c>
      <c r="AB26" s="131"/>
      <c r="AC26" s="129"/>
      <c r="AD26" s="129">
        <v>11</v>
      </c>
      <c r="AE26" s="131">
        <v>27</v>
      </c>
      <c r="AF26" s="129">
        <v>6</v>
      </c>
      <c r="AG26" s="131"/>
      <c r="AH26" s="129"/>
      <c r="AI26" s="131"/>
      <c r="AJ26" s="129">
        <v>7</v>
      </c>
      <c r="AK26" s="129">
        <v>4</v>
      </c>
      <c r="AL26" s="131"/>
      <c r="AM26" s="131"/>
      <c r="AN26" s="129">
        <v>17</v>
      </c>
      <c r="AO26" s="41"/>
      <c r="AP26" s="41"/>
      <c r="AQ26" s="41"/>
      <c r="AR26" s="47">
        <v>11</v>
      </c>
      <c r="AS26" s="49">
        <v>20</v>
      </c>
      <c r="AT26" s="16"/>
      <c r="AU26" s="50">
        <v>11</v>
      </c>
      <c r="AV26" s="50">
        <v>100</v>
      </c>
      <c r="AW26" s="41"/>
      <c r="BB26" s="16"/>
      <c r="BC26" s="16"/>
      <c r="BD26" s="16"/>
      <c r="BE26" s="16"/>
      <c r="BN26"/>
      <c r="BO26" s="16"/>
    </row>
    <row r="27" spans="1:67" s="4" customFormat="1" x14ac:dyDescent="0.2">
      <c r="A27" s="112">
        <v>39</v>
      </c>
      <c r="B27" s="17">
        <f>IF(Women[[#This Row],[PR Rang beim letzten Turnier]]&gt;Women[[#This Row],[PR Rang]],1,IF(Women[[#This Row],[PR Rang]]=Women[[#This Row],[PR Rang beim letzten Turnier]],0,-1))</f>
        <v>1</v>
      </c>
      <c r="C27" s="112">
        <f>RANK(Women[[#This Row],[PR Punkte]],Women[PR Punkte],0)</f>
        <v>21</v>
      </c>
      <c r="D27" s="9" t="s">
        <v>622</v>
      </c>
      <c r="E27" s="9" t="s">
        <v>16</v>
      </c>
      <c r="F27" s="109">
        <f>SUM(Women[[#This Row],[PR 1]:[PR 3]])</f>
        <v>220.9</v>
      </c>
      <c r="G27" s="109">
        <f>LARGE(Women[[#This Row],[TS SH O 22.02.22]:[PR3]],1)</f>
        <v>123.5</v>
      </c>
      <c r="H27" s="109">
        <f>LARGE(Women[[#This Row],[TS SH O 22.02.22]:[PR3]],2)</f>
        <v>51.8</v>
      </c>
      <c r="I27" s="109">
        <f>LARGE(Women[[#This Row],[TS SH O 22.02.22]:[PR3]],3)</f>
        <v>45.6</v>
      </c>
      <c r="J27" s="9">
        <f>RANK(K27,$K$7:$K$108,0)</f>
        <v>20</v>
      </c>
      <c r="K27" s="109">
        <f>SUM(L27:AA27)</f>
        <v>247.3</v>
      </c>
      <c r="L27" s="128" t="str">
        <f>IFERROR(VLOOKUP(Women[[#This Row],[TS SH O 22.02.22 Rang]],$AU$15:$AV$72,2,0)*L$5," ")</f>
        <v xml:space="preserve"> </v>
      </c>
      <c r="M27" s="109" t="str">
        <f>IFERROR(VLOOKUP(Women[[#This Row],[TS SH W 22.02.22 Rang]],$AR$15:$AS$72,2,0)*M$5," ")</f>
        <v xml:space="preserve"> </v>
      </c>
      <c r="N27" s="109" t="str">
        <f>IFERROR(VLOOKUP(Women[[#This Row],[TS LU W 12.03.22 Rang]],$AR$15:$AS$72,2,0)*N$5," ")</f>
        <v xml:space="preserve"> </v>
      </c>
      <c r="O27" s="128" t="str">
        <f>IFERROR(VLOOKUP(Women[[#This Row],[TS SH O 23.04.22 Rang]],$AU$15:$AV$72,2,0)*O$5," ")</f>
        <v xml:space="preserve"> </v>
      </c>
      <c r="P27" s="177">
        <f>IFERROR(VLOOKUP(Women[[#This Row],[TS LA W 08.05.22 Rang]],$AR$15:$AS$72,2,0)*P$5," ")</f>
        <v>51.8</v>
      </c>
      <c r="Q27" s="128" t="str">
        <f>IFERROR(VLOOKUP(Women[[#This Row],[TS SG O 25.05.22 Rang]],$AU$15:$AV$72,2,0)*Q$5," ")</f>
        <v xml:space="preserve"> </v>
      </c>
      <c r="R27" s="177" t="str">
        <f>IFERROR(VLOOKUP(Women[[#This Row],[TS SG W 25.05.22 Rang]],$AR$15:$AS$72,2,0)*R$5," ")</f>
        <v xml:space="preserve"> </v>
      </c>
      <c r="S27" s="128" t="str">
        <f>IFERROR(VLOOKUP(Women[[#This Row],[TS SH O 25.06.22 Rang]],$AU$15:$AV$72,2,0)*$S$5," ")</f>
        <v xml:space="preserve"> </v>
      </c>
      <c r="T27" s="177">
        <f>IFERROR(VLOOKUP(Women[[#This Row],[TS SH W 25.06.22 Rang]],$AR$15:$AS$72,2,0)*T$5," ")</f>
        <v>45.6</v>
      </c>
      <c r="U27" s="177">
        <f>IFERROR(VLOOKUP(Women[[#This Row],[TS ZH W 02.07.22 Rang]],$AR$15:$AS$72,2,0)*U$5," ")</f>
        <v>123.5</v>
      </c>
      <c r="V27" s="128" t="str">
        <f>IFERROR(VLOOKUP(Women[[#This Row],[SM BE O/A 09.07.22 Rang]],$AU$15:$AV$72,2,0)*V25," ")</f>
        <v xml:space="preserve"> </v>
      </c>
      <c r="W27" s="128" t="str">
        <f>IFERROR(VLOOKUP(Women[[#This Row],[SM BE O/B 09.07.22 Rang]],$AU$15:$AV$72,2,0)*$W$5," ")</f>
        <v xml:space="preserve"> </v>
      </c>
      <c r="X27" s="177">
        <f>IFERROR(VLOOKUP(Women[[#This Row],[SM BE W 09.07.22 Rang]],$AR$15:$AS$72,2,0)*X$5," ")</f>
        <v>26.4</v>
      </c>
      <c r="Y27" s="11">
        <v>0</v>
      </c>
      <c r="Z27" s="11">
        <v>0</v>
      </c>
      <c r="AA27" s="11">
        <v>0</v>
      </c>
      <c r="AB27" s="131"/>
      <c r="AC27" s="129"/>
      <c r="AD27" s="129"/>
      <c r="AE27" s="131"/>
      <c r="AF27" s="129">
        <v>6</v>
      </c>
      <c r="AG27" s="131"/>
      <c r="AH27" s="129"/>
      <c r="AI27" s="131"/>
      <c r="AJ27" s="129">
        <v>7</v>
      </c>
      <c r="AK27" s="129">
        <v>4</v>
      </c>
      <c r="AL27" s="131"/>
      <c r="AM27" s="131"/>
      <c r="AN27" s="129">
        <v>17</v>
      </c>
      <c r="AO27" s="16"/>
      <c r="AP27" s="16"/>
      <c r="AQ27" s="16"/>
      <c r="AR27" s="47">
        <v>12</v>
      </c>
      <c r="AS27" s="49">
        <v>20</v>
      </c>
      <c r="AT27" s="16"/>
      <c r="AU27" s="49">
        <v>12</v>
      </c>
      <c r="AV27" s="49">
        <v>100</v>
      </c>
      <c r="AW27" s="16"/>
      <c r="BN27"/>
      <c r="BO27" s="16"/>
    </row>
    <row r="28" spans="1:67" s="4" customFormat="1" x14ac:dyDescent="0.2">
      <c r="A28" s="112">
        <v>26</v>
      </c>
      <c r="B28" s="17">
        <f>IF(Women[[#This Row],[PR Rang beim letzten Turnier]]&gt;Women[[#This Row],[PR Rang]],1,IF(Women[[#This Row],[PR Rang]]=Women[[#This Row],[PR Rang beim letzten Turnier]],0,-1))</f>
        <v>1</v>
      </c>
      <c r="C28" s="112">
        <f>RANK(Women[[#This Row],[PR Punkte]],Women[PR Punkte],0)</f>
        <v>22</v>
      </c>
      <c r="D28" s="13" t="s">
        <v>359</v>
      </c>
      <c r="E28" s="11" t="s">
        <v>0</v>
      </c>
      <c r="F28" s="109">
        <f>SUM(Women[[#This Row],[PR 1]:[PR 3]])</f>
        <v>175</v>
      </c>
      <c r="G28" s="109">
        <f>LARGE(Women[[#This Row],[TS SH O 22.02.22]:[PR3]],1)</f>
        <v>140.6</v>
      </c>
      <c r="H28" s="109">
        <f>LARGE(Women[[#This Row],[TS SH O 22.02.22]:[PR3]],2)</f>
        <v>34.4</v>
      </c>
      <c r="I28" s="109">
        <f>LARGE(Women[[#This Row],[TS SH O 22.02.22]:[PR3]],3)</f>
        <v>0</v>
      </c>
      <c r="J28" s="11">
        <f>RANK(K28,$K$7:$K$108,0)</f>
        <v>25</v>
      </c>
      <c r="K28" s="109">
        <f>SUM(L28:AA28)</f>
        <v>175</v>
      </c>
      <c r="L28" s="128" t="str">
        <f>IFERROR(VLOOKUP(Women[[#This Row],[TS SH O 22.02.22 Rang]],$AU$15:$AV$72,2,0)*L$5," ")</f>
        <v xml:space="preserve"> </v>
      </c>
      <c r="M28" s="109" t="str">
        <f>IFERROR(VLOOKUP(Women[[#This Row],[TS SH W 22.02.22 Rang]],$AR$15:$AS$72,2,0)*M$5," ")</f>
        <v xml:space="preserve"> </v>
      </c>
      <c r="N28" s="109">
        <f>IFERROR(VLOOKUP(Women[[#This Row],[TS LU W 12.03.22 Rang]],$AR$15:$AS$72,2,0)*N$5," ")</f>
        <v>34.4</v>
      </c>
      <c r="O28" s="128" t="str">
        <f>IFERROR(VLOOKUP(Women[[#This Row],[TS SH O 23.04.22 Rang]],$AU$15:$AV$72,2,0)*O$5," ")</f>
        <v xml:space="preserve"> </v>
      </c>
      <c r="P28" s="177">
        <f>IFERROR(VLOOKUP(Women[[#This Row],[TS LA W 08.05.22 Rang]],$AR$15:$AS$72,2,0)*P$5," ")</f>
        <v>140.6</v>
      </c>
      <c r="Q28" s="128" t="str">
        <f>IFERROR(VLOOKUP(Women[[#This Row],[TS SG O 25.05.22 Rang]],$AU$15:$AV$72,2,0)*Q$5," ")</f>
        <v xml:space="preserve"> </v>
      </c>
      <c r="R28" s="177" t="str">
        <f>IFERROR(VLOOKUP(Women[[#This Row],[TS SG W 25.05.22 Rang]],$AR$15:$AS$72,2,0)*R$5," ")</f>
        <v xml:space="preserve"> </v>
      </c>
      <c r="S28" s="128" t="str">
        <f>IFERROR(VLOOKUP(Women[[#This Row],[TS SH O 25.06.22 Rang]],$AU$15:$AV$72,2,0)*$S$5," ")</f>
        <v xml:space="preserve"> </v>
      </c>
      <c r="T28" s="177" t="str">
        <f>IFERROR(VLOOKUP(Women[[#This Row],[TS SH W 25.06.22 Rang]],$AR$15:$AS$72,2,0)*T$5," ")</f>
        <v xml:space="preserve"> </v>
      </c>
      <c r="U28" s="177" t="str">
        <f>IFERROR(VLOOKUP(Women[[#This Row],[TS ZH W 02.07.22 Rang]],$AR$15:$AS$72,2,0)*U$5," ")</f>
        <v xml:space="preserve"> </v>
      </c>
      <c r="V28" s="128" t="str">
        <f>IFERROR(VLOOKUP(Women[[#This Row],[SM BE O/A 09.07.22 Rang]],$AU$15:$AV$72,2,0)*V26," ")</f>
        <v xml:space="preserve"> </v>
      </c>
      <c r="W28" s="128" t="str">
        <f>IFERROR(VLOOKUP(Women[[#This Row],[SM BE O/B 09.07.22 Rang]],$AU$15:$AV$72,2,0)*$W$5," ")</f>
        <v xml:space="preserve"> </v>
      </c>
      <c r="X28" s="177" t="str">
        <f>IFERROR(VLOOKUP(Women[[#This Row],[SM BE W 09.07.22 Rang]],$AR$15:$AS$72,2,0)*X$5," ")</f>
        <v xml:space="preserve"> </v>
      </c>
      <c r="Y28" s="11">
        <v>0</v>
      </c>
      <c r="Z28" s="11">
        <v>0</v>
      </c>
      <c r="AA28" s="11">
        <v>0</v>
      </c>
      <c r="AB28" s="131"/>
      <c r="AC28" s="129"/>
      <c r="AD28" s="129">
        <v>12</v>
      </c>
      <c r="AE28" s="131"/>
      <c r="AF28" s="129">
        <v>4</v>
      </c>
      <c r="AG28" s="131"/>
      <c r="AH28" s="129"/>
      <c r="AI28" s="131"/>
      <c r="AJ28" s="129"/>
      <c r="AK28" s="129"/>
      <c r="AL28" s="131"/>
      <c r="AM28" s="131"/>
      <c r="AN28" s="129"/>
      <c r="AO28" s="16"/>
      <c r="AP28" s="16"/>
      <c r="AQ28" s="16"/>
      <c r="AR28" s="47">
        <v>13</v>
      </c>
      <c r="AS28" s="49">
        <v>20</v>
      </c>
      <c r="AT28" s="16"/>
      <c r="AU28" s="49">
        <v>13</v>
      </c>
      <c r="AV28" s="49">
        <v>100</v>
      </c>
      <c r="AW28" s="16"/>
      <c r="BN28"/>
      <c r="BO28" s="16"/>
    </row>
    <row r="29" spans="1:67" s="4" customFormat="1" x14ac:dyDescent="0.2">
      <c r="A29" s="112">
        <v>27</v>
      </c>
      <c r="B29" s="17">
        <f>IF(Women[[#This Row],[PR Rang beim letzten Turnier]]&gt;Women[[#This Row],[PR Rang]],1,IF(Women[[#This Row],[PR Rang]]=Women[[#This Row],[PR Rang beim letzten Turnier]],0,-1))</f>
        <v>1</v>
      </c>
      <c r="C29" s="112">
        <f>RANK(Women[[#This Row],[PR Punkte]],Women[PR Punkte],0)</f>
        <v>23</v>
      </c>
      <c r="D29" s="9" t="s">
        <v>162</v>
      </c>
      <c r="E29" s="9" t="s">
        <v>10</v>
      </c>
      <c r="F29" s="109">
        <f>SUM(Women[[#This Row],[PR 1]:[PR 3]])</f>
        <v>167.2</v>
      </c>
      <c r="G29" s="109">
        <f>LARGE(Women[[#This Row],[TS SH O 22.02.22]:[PR3]],1)</f>
        <v>60.8</v>
      </c>
      <c r="H29" s="109">
        <f>LARGE(Women[[#This Row],[TS SH O 22.02.22]:[PR3]],2)</f>
        <v>60.199999999999996</v>
      </c>
      <c r="I29" s="109">
        <f>LARGE(Women[[#This Row],[TS SH O 22.02.22]:[PR3]],3)</f>
        <v>46.2</v>
      </c>
      <c r="J29" s="9">
        <f>RANK(K29,$K$7:$K$108,0)</f>
        <v>22</v>
      </c>
      <c r="K29" s="109">
        <f>SUM(L29:AA29)</f>
        <v>202.39999999999998</v>
      </c>
      <c r="L29" s="128" t="str">
        <f>IFERROR(VLOOKUP(Women[[#This Row],[TS SH O 22.02.22 Rang]],$AU$15:$AV$72,2,0)*L$5," ")</f>
        <v xml:space="preserve"> </v>
      </c>
      <c r="M29" s="109" t="str">
        <f>IFERROR(VLOOKUP(Women[[#This Row],[TS SH W 22.02.22 Rang]],$AR$15:$AS$72,2,0)*M$5," ")</f>
        <v xml:space="preserve"> </v>
      </c>
      <c r="N29" s="109">
        <f>IFERROR(VLOOKUP(Women[[#This Row],[TS LU W 12.03.22 Rang]],$AR$15:$AS$72,2,0)*N$5," ")</f>
        <v>60.199999999999996</v>
      </c>
      <c r="O29" s="128" t="str">
        <f>IFERROR(VLOOKUP(Women[[#This Row],[TS SH O 23.04.22 Rang]],$AU$15:$AV$72,2,0)*O$5," ")</f>
        <v xml:space="preserve"> </v>
      </c>
      <c r="P29" s="177" t="str">
        <f>IFERROR(VLOOKUP(Women[[#This Row],[TS LA W 08.05.22 Rang]],$AR$15:$AS$72,2,0)*P$5," ")</f>
        <v xml:space="preserve"> </v>
      </c>
      <c r="Q29" s="128" t="str">
        <f>IFERROR(VLOOKUP(Women[[#This Row],[TS SG O 25.05.22 Rang]],$AU$15:$AV$72,2,0)*Q$5," ")</f>
        <v xml:space="preserve"> </v>
      </c>
      <c r="R29" s="177">
        <f>IFERROR(VLOOKUP(Women[[#This Row],[TS SG W 25.05.22 Rang]],$AR$15:$AS$72,2,0)*R$5," ")</f>
        <v>46.2</v>
      </c>
      <c r="S29" s="128" t="str">
        <f>IFERROR(VLOOKUP(Women[[#This Row],[TS SH O 25.06.22 Rang]],$AU$15:$AV$72,2,0)*$S$5," ")</f>
        <v xml:space="preserve"> </v>
      </c>
      <c r="T29" s="177">
        <f>IFERROR(VLOOKUP(Women[[#This Row],[TS SH W 25.06.22 Rang]],$AR$15:$AS$72,2,0)*T$5," ")</f>
        <v>60.8</v>
      </c>
      <c r="U29" s="177" t="str">
        <f>IFERROR(VLOOKUP(Women[[#This Row],[TS ZH W 02.07.22 Rang]],$AR$15:$AS$72,2,0)*U$5," ")</f>
        <v xml:space="preserve"> </v>
      </c>
      <c r="V29" s="128" t="str">
        <f>IFERROR(VLOOKUP(Women[[#This Row],[SM BE O/A 09.07.22 Rang]],$AU$15:$AV$72,2,0)*V27," ")</f>
        <v xml:space="preserve"> </v>
      </c>
      <c r="W29" s="128" t="str">
        <f>IFERROR(VLOOKUP(Women[[#This Row],[SM BE O/B 09.07.22 Rang]],$AU$15:$AV$72,2,0)*$W$5," ")</f>
        <v xml:space="preserve"> </v>
      </c>
      <c r="X29" s="177">
        <f>IFERROR(VLOOKUP(Women[[#This Row],[SM BE W 09.07.22 Rang]],$AR$15:$AS$72,2,0)*X$5," ")</f>
        <v>35.200000000000003</v>
      </c>
      <c r="Y29" s="11">
        <v>0</v>
      </c>
      <c r="Z29" s="11">
        <v>0</v>
      </c>
      <c r="AA29" s="11">
        <v>0</v>
      </c>
      <c r="AB29" s="131"/>
      <c r="AC29" s="129"/>
      <c r="AD29" s="129">
        <v>6</v>
      </c>
      <c r="AE29" s="131"/>
      <c r="AF29" s="129"/>
      <c r="AG29" s="131"/>
      <c r="AH29" s="129">
        <v>7</v>
      </c>
      <c r="AI29" s="131"/>
      <c r="AJ29" s="129">
        <v>5</v>
      </c>
      <c r="AK29" s="129"/>
      <c r="AL29" s="131"/>
      <c r="AM29" s="131"/>
      <c r="AN29" s="129">
        <v>9</v>
      </c>
      <c r="AO29" s="16"/>
      <c r="AP29" s="16"/>
      <c r="AQ29" s="16"/>
      <c r="AR29" s="47">
        <v>14</v>
      </c>
      <c r="AS29" s="49">
        <v>20</v>
      </c>
      <c r="AT29" s="16"/>
      <c r="AU29" s="49">
        <v>14</v>
      </c>
      <c r="AV29" s="49">
        <v>100</v>
      </c>
      <c r="AW29" s="16"/>
      <c r="BN29"/>
      <c r="BO29" s="16"/>
    </row>
    <row r="30" spans="1:67" s="4" customFormat="1" x14ac:dyDescent="0.2">
      <c r="A30" s="112">
        <v>28</v>
      </c>
      <c r="B30" s="17">
        <f>IF(Women[[#This Row],[PR Rang beim letzten Turnier]]&gt;Women[[#This Row],[PR Rang]],1,IF(Women[[#This Row],[PR Rang]]=Women[[#This Row],[PR Rang beim letzten Turnier]],0,-1))</f>
        <v>1</v>
      </c>
      <c r="C30" s="112">
        <f>RANK(Women[[#This Row],[PR Punkte]],Women[PR Punkte],0)</f>
        <v>23</v>
      </c>
      <c r="D30" s="11" t="s">
        <v>43</v>
      </c>
      <c r="E30" s="9" t="s">
        <v>10</v>
      </c>
      <c r="F30" s="109">
        <f>SUM(Women[[#This Row],[PR 1]:[PR 3]])</f>
        <v>167.2</v>
      </c>
      <c r="G30" s="109">
        <f>LARGE(Women[[#This Row],[TS SH O 22.02.22]:[PR3]],1)</f>
        <v>60.8</v>
      </c>
      <c r="H30" s="109">
        <f>LARGE(Women[[#This Row],[TS SH O 22.02.22]:[PR3]],2)</f>
        <v>60.199999999999996</v>
      </c>
      <c r="I30" s="109">
        <f>LARGE(Women[[#This Row],[TS SH O 22.02.22]:[PR3]],3)</f>
        <v>46.2</v>
      </c>
      <c r="J30" s="9">
        <f>RANK(K30,$K$7:$K$108,0)</f>
        <v>26</v>
      </c>
      <c r="K30" s="109">
        <f>SUM(L30:AA30)</f>
        <v>167.2</v>
      </c>
      <c r="L30" s="128" t="str">
        <f>IFERROR(VLOOKUP(Women[[#This Row],[TS SH O 22.02.22 Rang]],$AU$15:$AV$72,2,0)*L$5," ")</f>
        <v xml:space="preserve"> </v>
      </c>
      <c r="M30" s="109" t="str">
        <f>IFERROR(VLOOKUP(Women[[#This Row],[TS SH W 22.02.22 Rang]],$AR$15:$AS$72,2,0)*M$5," ")</f>
        <v xml:space="preserve"> </v>
      </c>
      <c r="N30" s="109">
        <f>IFERROR(VLOOKUP(Women[[#This Row],[TS LU W 12.03.22 Rang]],$AR$15:$AS$72,2,0)*N$5," ")</f>
        <v>60.199999999999996</v>
      </c>
      <c r="O30" s="128" t="str">
        <f>IFERROR(VLOOKUP(Women[[#This Row],[TS SH O 23.04.22 Rang]],$AU$15:$AV$72,2,0)*O$5," ")</f>
        <v xml:space="preserve"> </v>
      </c>
      <c r="P30" s="177" t="str">
        <f>IFERROR(VLOOKUP(Women[[#This Row],[TS LA W 08.05.22 Rang]],$AR$15:$AS$72,2,0)*P$5," ")</f>
        <v xml:space="preserve"> </v>
      </c>
      <c r="Q30" s="128" t="str">
        <f>IFERROR(VLOOKUP(Women[[#This Row],[TS SG O 25.05.22 Rang]],$AU$15:$AV$72,2,0)*Q$5," ")</f>
        <v xml:space="preserve"> </v>
      </c>
      <c r="R30" s="177">
        <f>IFERROR(VLOOKUP(Women[[#This Row],[TS SG W 25.05.22 Rang]],$AR$15:$AS$72,2,0)*R$5," ")</f>
        <v>46.2</v>
      </c>
      <c r="S30" s="128" t="str">
        <f>IFERROR(VLOOKUP(Women[[#This Row],[TS SH O 25.06.22 Rang]],$AU$15:$AV$72,2,0)*$S$5," ")</f>
        <v xml:space="preserve"> </v>
      </c>
      <c r="T30" s="177">
        <f>IFERROR(VLOOKUP(Women[[#This Row],[TS SH W 25.06.22 Rang]],$AR$15:$AS$72,2,0)*T$5," ")</f>
        <v>60.8</v>
      </c>
      <c r="U30" s="177" t="str">
        <f>IFERROR(VLOOKUP(Women[[#This Row],[TS ZH W 02.07.22 Rang]],$AR$15:$AS$72,2,0)*U$5," ")</f>
        <v xml:space="preserve"> </v>
      </c>
      <c r="V30" s="128" t="str">
        <f>IFERROR(VLOOKUP(Women[[#This Row],[SM BE O/A 09.07.22 Rang]],$AU$15:$AV$72,2,0)*V28," ")</f>
        <v xml:space="preserve"> </v>
      </c>
      <c r="W30" s="128" t="str">
        <f>IFERROR(VLOOKUP(Women[[#This Row],[SM BE O/B 09.07.22 Rang]],$AU$15:$AV$72,2,0)*$W$5," ")</f>
        <v xml:space="preserve"> </v>
      </c>
      <c r="X30" s="177" t="str">
        <f>IFERROR(VLOOKUP(Women[[#This Row],[SM BE W 09.07.22 Rang]],$AR$15:$AS$72,2,0)*X$5," ")</f>
        <v xml:space="preserve"> </v>
      </c>
      <c r="Y30" s="11">
        <v>0</v>
      </c>
      <c r="Z30" s="11">
        <v>0</v>
      </c>
      <c r="AA30" s="11">
        <v>0</v>
      </c>
      <c r="AB30" s="131"/>
      <c r="AC30" s="129"/>
      <c r="AD30" s="129">
        <v>6</v>
      </c>
      <c r="AE30" s="131"/>
      <c r="AF30" s="129"/>
      <c r="AG30" s="131"/>
      <c r="AH30" s="129">
        <v>7</v>
      </c>
      <c r="AI30" s="131"/>
      <c r="AJ30" s="129">
        <v>5</v>
      </c>
      <c r="AK30" s="129"/>
      <c r="AL30" s="131"/>
      <c r="AM30" s="131"/>
      <c r="AN30" s="129"/>
      <c r="AO30" s="16"/>
      <c r="AP30" s="16"/>
      <c r="AQ30" s="16"/>
      <c r="AR30" s="47">
        <v>15</v>
      </c>
      <c r="AS30" s="49">
        <v>20</v>
      </c>
      <c r="AT30" s="16"/>
      <c r="AU30" s="49">
        <v>15</v>
      </c>
      <c r="AV30" s="49">
        <v>100</v>
      </c>
      <c r="AW30" s="16"/>
      <c r="BN30"/>
      <c r="BO30" s="16"/>
    </row>
    <row r="31" spans="1:67" s="4" customFormat="1" x14ac:dyDescent="0.2">
      <c r="A31" s="112">
        <v>31</v>
      </c>
      <c r="B31" s="17">
        <f>IF(Women[[#This Row],[PR Rang beim letzten Turnier]]&gt;Women[[#This Row],[PR Rang]],1,IF(Women[[#This Row],[PR Rang]]=Women[[#This Row],[PR Rang beim letzten Turnier]],0,-1))</f>
        <v>1</v>
      </c>
      <c r="C31" s="112">
        <f>RANK(Women[[#This Row],[PR Punkte]],Women[PR Punkte],0)</f>
        <v>25</v>
      </c>
      <c r="D31" s="7" t="s">
        <v>42</v>
      </c>
      <c r="E31" s="9" t="s">
        <v>10</v>
      </c>
      <c r="F31" s="109">
        <f>SUM(Women[[#This Row],[PR 1]:[PR 3]])</f>
        <v>151</v>
      </c>
      <c r="G31" s="109">
        <f>LARGE(Women[[#This Row],[TS SH O 22.02.22]:[PR3]],1)</f>
        <v>53.9</v>
      </c>
      <c r="H31" s="109">
        <f>LARGE(Women[[#This Row],[TS SH O 22.02.22]:[PR3]],2)</f>
        <v>51.6</v>
      </c>
      <c r="I31" s="109">
        <f>LARGE(Women[[#This Row],[TS SH O 22.02.22]:[PR3]],3)</f>
        <v>45.5</v>
      </c>
      <c r="J31" s="9">
        <f>RANK(K31,$K$7:$K$108,0)</f>
        <v>23</v>
      </c>
      <c r="K31" s="109">
        <f>SUM(L31:AA31)</f>
        <v>186.2</v>
      </c>
      <c r="L31" s="128" t="str">
        <f>IFERROR(VLOOKUP(Women[[#This Row],[TS SH O 22.02.22 Rang]],$AU$15:$AV$72,2,0)*L$5," ")</f>
        <v xml:space="preserve"> </v>
      </c>
      <c r="M31" s="109" t="str">
        <f>IFERROR(VLOOKUP(Women[[#This Row],[TS SH W 22.02.22 Rang]],$AR$15:$AS$72,2,0)*M$5," ")</f>
        <v xml:space="preserve"> </v>
      </c>
      <c r="N31" s="109">
        <f>IFERROR(VLOOKUP(Women[[#This Row],[TS LU W 12.03.22 Rang]],$AR$15:$AS$72,2,0)*N$5," ")</f>
        <v>51.6</v>
      </c>
      <c r="O31" s="128" t="str">
        <f>IFERROR(VLOOKUP(Women[[#This Row],[TS SH O 23.04.22 Rang]],$AU$15:$AV$72,2,0)*O$5," ")</f>
        <v xml:space="preserve"> </v>
      </c>
      <c r="P31" s="177" t="str">
        <f>IFERROR(VLOOKUP(Women[[#This Row],[TS LA W 08.05.22 Rang]],$AR$15:$AS$72,2,0)*P$5," ")</f>
        <v xml:space="preserve"> </v>
      </c>
      <c r="Q31" s="128" t="str">
        <f>IFERROR(VLOOKUP(Women[[#This Row],[TS SG O 25.05.22 Rang]],$AU$15:$AV$72,2,0)*Q$5," ")</f>
        <v xml:space="preserve"> </v>
      </c>
      <c r="R31" s="177">
        <f>IFERROR(VLOOKUP(Women[[#This Row],[TS SG W 25.05.22 Rang]],$AR$15:$AS$72,2,0)*R$5," ")</f>
        <v>53.9</v>
      </c>
      <c r="S31" s="128" t="str">
        <f>IFERROR(VLOOKUP(Women[[#This Row],[TS SH O 25.06.22 Rang]],$AU$15:$AV$72,2,0)*$S$5," ")</f>
        <v xml:space="preserve"> </v>
      </c>
      <c r="T31" s="177" t="str">
        <f>IFERROR(VLOOKUP(Women[[#This Row],[TS SH W 25.06.22 Rang]],$AR$15:$AS$72,2,0)*T$5," ")</f>
        <v xml:space="preserve"> </v>
      </c>
      <c r="U31" s="177">
        <f>IFERROR(VLOOKUP(Women[[#This Row],[TS ZH W 02.07.22 Rang]],$AR$15:$AS$72,2,0)*U$5," ")</f>
        <v>45.5</v>
      </c>
      <c r="V31" s="128" t="str">
        <f>IFERROR(VLOOKUP(Women[[#This Row],[SM BE O/A 09.07.22 Rang]],$AU$15:$AV$72,2,0)*V29," ")</f>
        <v xml:space="preserve"> </v>
      </c>
      <c r="W31" s="128" t="str">
        <f>IFERROR(VLOOKUP(Women[[#This Row],[SM BE O/B 09.07.22 Rang]],$AU$15:$AV$72,2,0)*$W$5," ")</f>
        <v xml:space="preserve"> </v>
      </c>
      <c r="X31" s="177">
        <f>IFERROR(VLOOKUP(Women[[#This Row],[SM BE W 09.07.22 Rang]],$AR$15:$AS$72,2,0)*X$5," ")</f>
        <v>35.200000000000003</v>
      </c>
      <c r="Y31" s="11">
        <v>0</v>
      </c>
      <c r="Z31" s="11">
        <v>0</v>
      </c>
      <c r="AA31" s="11">
        <v>0</v>
      </c>
      <c r="AB31" s="131"/>
      <c r="AC31" s="129"/>
      <c r="AD31" s="129">
        <v>7</v>
      </c>
      <c r="AE31" s="131"/>
      <c r="AF31" s="129"/>
      <c r="AG31" s="131"/>
      <c r="AH31" s="129">
        <v>6</v>
      </c>
      <c r="AI31" s="131"/>
      <c r="AJ31" s="129"/>
      <c r="AK31" s="129">
        <v>6</v>
      </c>
      <c r="AL31" s="131"/>
      <c r="AM31" s="131"/>
      <c r="AN31" s="129">
        <v>9</v>
      </c>
      <c r="AO31" s="16"/>
      <c r="AP31" s="16"/>
      <c r="AQ31" s="16"/>
      <c r="AR31" s="47">
        <v>16</v>
      </c>
      <c r="AS31" s="49">
        <v>20</v>
      </c>
      <c r="AT31" s="16"/>
      <c r="AU31" s="49">
        <v>16</v>
      </c>
      <c r="AV31" s="49">
        <v>100</v>
      </c>
      <c r="AW31" s="16"/>
    </row>
    <row r="32" spans="1:67" s="4" customFormat="1" x14ac:dyDescent="0.2">
      <c r="A32" s="225">
        <v>90</v>
      </c>
      <c r="B32" s="198">
        <f>IF(Women[[#This Row],[PR Rang beim letzten Turnier]]&gt;Women[[#This Row],[PR Rang]],1,IF(Women[[#This Row],[PR Rang]]=Women[[#This Row],[PR Rang beim letzten Turnier]],0,-1))</f>
        <v>1</v>
      </c>
      <c r="C32" s="225">
        <f>RANK(Women[[#This Row],[PR Punkte]],Women[PR Punkte],0)</f>
        <v>26</v>
      </c>
      <c r="D32" s="267" t="s">
        <v>590</v>
      </c>
      <c r="E32" s="31" t="s">
        <v>11</v>
      </c>
      <c r="F32" s="109">
        <f>SUM(Women[[#This Row],[PR 1]:[PR 3]])</f>
        <v>148</v>
      </c>
      <c r="G32" s="109">
        <f>LARGE(Women[[#This Row],[TS SH O 22.02.22]:[PR3]],1)</f>
        <v>148</v>
      </c>
      <c r="H32" s="109">
        <f>LARGE(Women[[#This Row],[TS SH O 22.02.22]:[PR3]],2)</f>
        <v>0</v>
      </c>
      <c r="I32" s="109">
        <f>LARGE(Women[[#This Row],[TS SH O 22.02.22]:[PR3]],3)</f>
        <v>0</v>
      </c>
      <c r="J32" s="86">
        <f>RANK(K32,$K$7:$K$108,0)</f>
        <v>28</v>
      </c>
      <c r="K32" s="109">
        <f>SUM(L32:AA32)</f>
        <v>148</v>
      </c>
      <c r="L32" s="128" t="str">
        <f>IFERROR(VLOOKUP(Women[[#This Row],[TS SH O 22.02.22 Rang]],$AU$15:$AV$72,2,0)*L$5," ")</f>
        <v xml:space="preserve"> </v>
      </c>
      <c r="M32" s="177" t="str">
        <f>IFERROR(VLOOKUP(Women[[#This Row],[TS SH W 22.02.22 Rang]],$AR$15:$AS$72,2,0)*M$5," ")</f>
        <v xml:space="preserve"> </v>
      </c>
      <c r="N32" s="177" t="str">
        <f>IFERROR(VLOOKUP(Women[[#This Row],[TS LU W 12.03.22 Rang]],$AR$15:$AS$72,2,0)*N$5," ")</f>
        <v xml:space="preserve"> </v>
      </c>
      <c r="O32" s="128" t="str">
        <f>IFERROR(VLOOKUP(Women[[#This Row],[TS SH O 23.04.22 Rang]],$AU$15:$AV$72,2,0)*O$5," ")</f>
        <v xml:space="preserve"> </v>
      </c>
      <c r="P32" s="177" t="str">
        <f>IFERROR(VLOOKUP(Women[[#This Row],[TS LA W 08.05.22 Rang]],$AR$15:$AS$72,2,0)*P$5," ")</f>
        <v xml:space="preserve"> </v>
      </c>
      <c r="Q32" s="128" t="str">
        <f>IFERROR(VLOOKUP(Women[[#This Row],[TS SG O 25.05.22 Rang]],$AU$15:$AV$72,2,0)*Q$5," ")</f>
        <v xml:space="preserve"> </v>
      </c>
      <c r="R32" s="177" t="str">
        <f>IFERROR(VLOOKUP(Women[[#This Row],[TS SG W 25.05.22 Rang]],$AR$15:$AS$72,2,0)*R$5," ")</f>
        <v xml:space="preserve"> </v>
      </c>
      <c r="S32" s="128">
        <f>IFERROR(VLOOKUP(Women[[#This Row],[TS SH O 25.06.22 Rang]],$AU$15:$AV$72,2,0)*$S$5," ")</f>
        <v>148</v>
      </c>
      <c r="T32" s="177" t="str">
        <f>IFERROR(VLOOKUP(Women[[#This Row],[TS SH W 25.06.22 Rang]],$AR$15:$AS$72,2,0)*T$5," ")</f>
        <v xml:space="preserve"> </v>
      </c>
      <c r="U32" s="177" t="str">
        <f>IFERROR(VLOOKUP(Women[[#This Row],[TS ZH W 02.07.22 Rang]],$AR$15:$AS$72,2,0)*U$5," ")</f>
        <v xml:space="preserve"> </v>
      </c>
      <c r="V32" s="128" t="str">
        <f>IFERROR(VLOOKUP(Women[[#This Row],[SM BE O/A 09.07.22 Rang]],$AU$15:$AV$72,2,0)*V30," ")</f>
        <v xml:space="preserve"> </v>
      </c>
      <c r="W32" s="128" t="str">
        <f>IFERROR(VLOOKUP(Women[[#This Row],[SM BE O/B 09.07.22 Rang]],$AU$15:$AV$72,2,0)*$W$5," ")</f>
        <v xml:space="preserve"> </v>
      </c>
      <c r="X32" s="177" t="str">
        <f>IFERROR(VLOOKUP(Women[[#This Row],[SM BE W 09.07.22 Rang]],$AR$15:$AS$72,2,0)*X$5," ")</f>
        <v xml:space="preserve"> </v>
      </c>
      <c r="Y32" s="244">
        <v>0</v>
      </c>
      <c r="Z32" s="244">
        <v>0</v>
      </c>
      <c r="AA32" s="244">
        <v>0</v>
      </c>
      <c r="AB32" s="131"/>
      <c r="AC32" s="129"/>
      <c r="AD32" s="129"/>
      <c r="AE32" s="131"/>
      <c r="AF32" s="129"/>
      <c r="AG32" s="131"/>
      <c r="AH32" s="129"/>
      <c r="AI32" s="131">
        <v>16</v>
      </c>
      <c r="AJ32" s="129"/>
      <c r="AK32" s="129"/>
      <c r="AL32" s="131"/>
      <c r="AM32" s="131"/>
      <c r="AN32" s="129"/>
      <c r="AO32" s="41"/>
      <c r="AP32" s="41"/>
      <c r="AQ32" s="41"/>
      <c r="AR32" s="47">
        <v>17</v>
      </c>
      <c r="AS32" s="49">
        <v>15</v>
      </c>
      <c r="AT32" s="16"/>
      <c r="AU32" s="50">
        <v>17</v>
      </c>
      <c r="AV32" s="50">
        <v>30</v>
      </c>
      <c r="AW32" s="41"/>
    </row>
    <row r="33" spans="1:53" s="4" customFormat="1" x14ac:dyDescent="0.2">
      <c r="A33" s="112">
        <v>29</v>
      </c>
      <c r="B33" s="17">
        <f>IF(Women[[#This Row],[PR Rang beim letzten Turnier]]&gt;Women[[#This Row],[PR Rang]],1,IF(Women[[#This Row],[PR Rang]]=Women[[#This Row],[PR Rang beim letzten Turnier]],0,-1))</f>
        <v>1</v>
      </c>
      <c r="C33" s="112">
        <f>RANK(Women[[#This Row],[PR Punkte]],Women[PR Punkte],0)</f>
        <v>27</v>
      </c>
      <c r="D33" s="11" t="s">
        <v>40</v>
      </c>
      <c r="E33" s="11" t="s">
        <v>8</v>
      </c>
      <c r="F33" s="109">
        <f>SUM(Women[[#This Row],[PR 1]:[PR 3]])</f>
        <v>144.4</v>
      </c>
      <c r="G33" s="109">
        <f>LARGE(Women[[#This Row],[TS SH O 22.02.22]:[PR3]],1)</f>
        <v>144.4</v>
      </c>
      <c r="H33" s="109">
        <f>LARGE(Women[[#This Row],[TS SH O 22.02.22]:[PR3]],2)</f>
        <v>0</v>
      </c>
      <c r="I33" s="109">
        <f>LARGE(Women[[#This Row],[TS SH O 22.02.22]:[PR3]],3)</f>
        <v>0</v>
      </c>
      <c r="J33" s="11">
        <f>RANK(K33,$K$7:$K$108,0)</f>
        <v>29</v>
      </c>
      <c r="K33" s="109">
        <f>SUM(L33:AA33)</f>
        <v>144.4</v>
      </c>
      <c r="L33" s="128" t="str">
        <f>IFERROR(VLOOKUP(Women[[#This Row],[TS SH O 22.02.22 Rang]],$AU$15:$AV$72,2,0)*L$5," ")</f>
        <v xml:space="preserve"> </v>
      </c>
      <c r="M33" s="109" t="str">
        <f>IFERROR(VLOOKUP(Women[[#This Row],[TS SH W 22.02.22 Rang]],$AR$15:$AS$72,2,0)*M$5," ")</f>
        <v xml:space="preserve"> </v>
      </c>
      <c r="N33" s="109" t="str">
        <f>IFERROR(VLOOKUP(Women[[#This Row],[TS LU W 12.03.22 Rang]],$AR$15:$AS$72,2,0)*N$5," ")</f>
        <v xml:space="preserve"> </v>
      </c>
      <c r="O33" s="128" t="str">
        <f>IFERROR(VLOOKUP(Women[[#This Row],[TS SH O 23.04.22 Rang]],$AU$15:$AV$72,2,0)*O$5," ")</f>
        <v xml:space="preserve"> </v>
      </c>
      <c r="P33" s="177" t="str">
        <f>IFERROR(VLOOKUP(Women[[#This Row],[TS LA W 08.05.22 Rang]],$AR$15:$AS$72,2,0)*P$5," ")</f>
        <v xml:space="preserve"> </v>
      </c>
      <c r="Q33" s="128" t="str">
        <f>IFERROR(VLOOKUP(Women[[#This Row],[TS SG O 25.05.22 Rang]],$AU$15:$AV$72,2,0)*Q$5," ")</f>
        <v xml:space="preserve"> </v>
      </c>
      <c r="R33" s="177" t="str">
        <f>IFERROR(VLOOKUP(Women[[#This Row],[TS SG W 25.05.22 Rang]],$AR$15:$AS$72,2,0)*R$5," ")</f>
        <v xml:space="preserve"> </v>
      </c>
      <c r="S33" s="128" t="str">
        <f>IFERROR(VLOOKUP(Women[[#This Row],[TS SH O 25.06.22 Rang]],$AU$15:$AV$72,2,0)*$S$5," ")</f>
        <v xml:space="preserve"> </v>
      </c>
      <c r="T33" s="177">
        <f>IFERROR(VLOOKUP(Women[[#This Row],[TS SH W 25.06.22 Rang]],$AR$15:$AS$72,2,0)*T$5," ")</f>
        <v>144.4</v>
      </c>
      <c r="U33" s="177" t="str">
        <f>IFERROR(VLOOKUP(Women[[#This Row],[TS ZH W 02.07.22 Rang]],$AR$15:$AS$72,2,0)*U$5," ")</f>
        <v xml:space="preserve"> </v>
      </c>
      <c r="V33" s="128" t="str">
        <f>IFERROR(VLOOKUP(Women[[#This Row],[SM BE O/A 09.07.22 Rang]],$AU$15:$AV$72,2,0)*V31," ")</f>
        <v xml:space="preserve"> </v>
      </c>
      <c r="W33" s="128" t="str">
        <f>IFERROR(VLOOKUP(Women[[#This Row],[SM BE O/B 09.07.22 Rang]],$AU$15:$AV$72,2,0)*$W$5," ")</f>
        <v xml:space="preserve"> </v>
      </c>
      <c r="X33" s="177" t="str">
        <f>IFERROR(VLOOKUP(Women[[#This Row],[SM BE W 09.07.22 Rang]],$AR$15:$AS$72,2,0)*X$5," ")</f>
        <v xml:space="preserve"> </v>
      </c>
      <c r="Y33" s="11">
        <v>0</v>
      </c>
      <c r="Z33" s="11">
        <v>0</v>
      </c>
      <c r="AA33" s="11">
        <v>0</v>
      </c>
      <c r="AB33" s="131"/>
      <c r="AC33" s="129"/>
      <c r="AD33" s="129"/>
      <c r="AE33" s="131"/>
      <c r="AF33" s="129"/>
      <c r="AG33" s="131"/>
      <c r="AH33" s="129"/>
      <c r="AI33" s="131"/>
      <c r="AJ33" s="129">
        <v>4</v>
      </c>
      <c r="AK33" s="129"/>
      <c r="AL33" s="131"/>
      <c r="AM33" s="131"/>
      <c r="AN33" s="129"/>
      <c r="AO33" s="16"/>
      <c r="AP33" s="16"/>
      <c r="AQ33" s="16"/>
      <c r="AR33" s="47">
        <v>18</v>
      </c>
      <c r="AS33" s="49">
        <v>15</v>
      </c>
      <c r="AT33" s="16"/>
      <c r="AU33" s="49">
        <v>18</v>
      </c>
      <c r="AV33" s="49">
        <v>30</v>
      </c>
      <c r="AW33" s="16"/>
      <c r="AX33" s="148" t="s">
        <v>5</v>
      </c>
      <c r="AY33" s="148" t="s">
        <v>4</v>
      </c>
      <c r="AZ33" s="148" t="s">
        <v>30</v>
      </c>
      <c r="BA33" s="148" t="s">
        <v>6</v>
      </c>
    </row>
    <row r="34" spans="1:53" s="4" customFormat="1" x14ac:dyDescent="0.2">
      <c r="A34" s="112">
        <v>16</v>
      </c>
      <c r="B34" s="17">
        <f>IF(Women[[#This Row],[PR Rang beim letzten Turnier]]&gt;Women[[#This Row],[PR Rang]],1,IF(Women[[#This Row],[PR Rang]]=Women[[#This Row],[PR Rang beim letzten Turnier]],0,-1))</f>
        <v>-1</v>
      </c>
      <c r="C34" s="112">
        <f>RANK(Women[[#This Row],[PR Punkte]],Women[PR Punkte],0)</f>
        <v>28</v>
      </c>
      <c r="D34" s="227" t="s">
        <v>164</v>
      </c>
      <c r="E34" s="9" t="s">
        <v>10</v>
      </c>
      <c r="F34" s="177">
        <f>SUM(Women[[#This Row],[PR 1]:[PR 3]])</f>
        <v>144.30000000000001</v>
      </c>
      <c r="G34" s="109">
        <f>LARGE(Women[[#This Row],[TS SH O 22.02.22]:[PR3]],1)</f>
        <v>60.8</v>
      </c>
      <c r="H34" s="109">
        <f>LARGE(Women[[#This Row],[TS SH O 22.02.22]:[PR3]],2)</f>
        <v>45.5</v>
      </c>
      <c r="I34" s="109">
        <f>LARGE(Women[[#This Row],[TS SH O 22.02.22]:[PR3]],3)</f>
        <v>38</v>
      </c>
      <c r="J34" s="9">
        <f>RANK(K34,$K$7:$K$108,0)</f>
        <v>24</v>
      </c>
      <c r="K34" s="109">
        <f>SUM(L34:AA34)</f>
        <v>179.5</v>
      </c>
      <c r="L34" s="128" t="str">
        <f>IFERROR(VLOOKUP(Women[[#This Row],[TS SH O 22.02.22 Rang]],$AU$15:$AV$72,2,0)*L$5," ")</f>
        <v xml:space="preserve"> </v>
      </c>
      <c r="M34" s="109">
        <f>IFERROR(VLOOKUP(Women[[#This Row],[TS SH W 22.02.22 Rang]],$AR$15:$AS$72,2,0)*M$5," ")</f>
        <v>60.8</v>
      </c>
      <c r="N34" s="109" t="str">
        <f>IFERROR(VLOOKUP(Women[[#This Row],[TS LU W 12.03.22 Rang]],$AR$15:$AS$72,2,0)*N$5," ")</f>
        <v xml:space="preserve"> </v>
      </c>
      <c r="O34" s="128" t="str">
        <f>IFERROR(VLOOKUP(Women[[#This Row],[TS SH O 23.04.22 Rang]],$AU$15:$AV$72,2,0)*O$5," ")</f>
        <v xml:space="preserve"> </v>
      </c>
      <c r="P34" s="177" t="str">
        <f>IFERROR(VLOOKUP(Women[[#This Row],[TS LA W 08.05.22 Rang]],$AR$15:$AS$72,2,0)*P$5," ")</f>
        <v xml:space="preserve"> </v>
      </c>
      <c r="Q34" s="128" t="str">
        <f>IFERROR(VLOOKUP(Women[[#This Row],[TS SG O 25.05.22 Rang]],$AU$15:$AV$72,2,0)*Q$5," ")</f>
        <v xml:space="preserve"> </v>
      </c>
      <c r="R34" s="177" t="str">
        <f>IFERROR(VLOOKUP(Women[[#This Row],[TS SG W 25.05.22 Rang]],$AR$15:$AS$72,2,0)*R$5," ")</f>
        <v xml:space="preserve"> </v>
      </c>
      <c r="S34" s="128" t="str">
        <f>IFERROR(VLOOKUP(Women[[#This Row],[TS SH O 25.06.22 Rang]],$AU$15:$AV$72,2,0)*$S$5," ")</f>
        <v xml:space="preserve"> </v>
      </c>
      <c r="T34" s="177">
        <f>IFERROR(VLOOKUP(Women[[#This Row],[TS SH W 25.06.22 Rang]],$AR$15:$AS$72,2,0)*T$5," ")</f>
        <v>38</v>
      </c>
      <c r="U34" s="177">
        <f>IFERROR(VLOOKUP(Women[[#This Row],[TS ZH W 02.07.22 Rang]],$AR$15:$AS$72,2,0)*U$5," ")</f>
        <v>45.5</v>
      </c>
      <c r="V34" s="128" t="str">
        <f>IFERROR(VLOOKUP(Women[[#This Row],[SM BE O/A 09.07.22 Rang]],$AU$15:$AV$72,2,0)*V32," ")</f>
        <v xml:space="preserve"> </v>
      </c>
      <c r="W34" s="128" t="str">
        <f>IFERROR(VLOOKUP(Women[[#This Row],[SM BE O/B 09.07.22 Rang]],$AU$15:$AV$72,2,0)*$W$5," ")</f>
        <v xml:space="preserve"> </v>
      </c>
      <c r="X34" s="177">
        <f>IFERROR(VLOOKUP(Women[[#This Row],[SM BE W 09.07.22 Rang]],$AR$15:$AS$72,2,0)*X$5," ")</f>
        <v>35.200000000000003</v>
      </c>
      <c r="Y34" s="11">
        <v>0</v>
      </c>
      <c r="Z34" s="11">
        <v>0</v>
      </c>
      <c r="AA34" s="11">
        <v>0</v>
      </c>
      <c r="AB34" s="131"/>
      <c r="AC34" s="122">
        <v>5</v>
      </c>
      <c r="AD34" s="129"/>
      <c r="AE34" s="131"/>
      <c r="AF34" s="129"/>
      <c r="AG34" s="131"/>
      <c r="AH34" s="129"/>
      <c r="AI34" s="131"/>
      <c r="AJ34" s="122">
        <v>8</v>
      </c>
      <c r="AK34" s="122">
        <v>6</v>
      </c>
      <c r="AL34" s="131"/>
      <c r="AM34" s="131"/>
      <c r="AN34" s="122">
        <v>16</v>
      </c>
      <c r="AO34" s="41"/>
      <c r="AP34" s="41"/>
      <c r="AQ34" s="41"/>
      <c r="AR34" s="47">
        <v>19</v>
      </c>
      <c r="AS34" s="49">
        <v>15</v>
      </c>
      <c r="AT34" s="16"/>
      <c r="AU34" s="50">
        <v>19</v>
      </c>
      <c r="AV34" s="50">
        <v>30</v>
      </c>
      <c r="AW34" s="41"/>
      <c r="AX34" s="17">
        <f ca="1">RANK(BA34,Tabel64873576167717377792[Punkte],0)</f>
        <v>1</v>
      </c>
      <c r="AY34" s="17" t="s">
        <v>0</v>
      </c>
      <c r="AZ34" s="17">
        <f>COUNTIF(Women[Club],Tabel64873576167717377792[[#This Row],[Club]])</f>
        <v>24</v>
      </c>
      <c r="BA34" s="17">
        <f ca="1">SUMIF(Women[Club],Tabel64873576167717377792[[#This Row],[Club]],$F$7)</f>
        <v>7020.9000000000005</v>
      </c>
    </row>
    <row r="35" spans="1:53" s="4" customFormat="1" x14ac:dyDescent="0.2">
      <c r="A35" s="112">
        <v>19</v>
      </c>
      <c r="B35" s="17">
        <f>IF(Women[[#This Row],[PR Rang beim letzten Turnier]]&gt;Women[[#This Row],[PR Rang]],1,IF(Women[[#This Row],[PR Rang]]=Women[[#This Row],[PR Rang beim letzten Turnier]],0,-1))</f>
        <v>-1</v>
      </c>
      <c r="C35" s="112">
        <f>RANK(Women[[#This Row],[PR Punkte]],Women[PR Punkte],0)</f>
        <v>29</v>
      </c>
      <c r="D35" s="43" t="s">
        <v>222</v>
      </c>
      <c r="E35" s="11" t="s">
        <v>14</v>
      </c>
      <c r="F35" s="177">
        <f>SUM(Women[[#This Row],[PR 1]:[PR 3]])</f>
        <v>141.19999999999999</v>
      </c>
      <c r="G35" s="109">
        <f>LARGE(Women[[#This Row],[TS SH O 22.02.22]:[PR3]],1)</f>
        <v>61.6</v>
      </c>
      <c r="H35" s="109">
        <f>LARGE(Women[[#This Row],[TS SH O 22.02.22]:[PR3]],2)</f>
        <v>44.4</v>
      </c>
      <c r="I35" s="109">
        <f>LARGE(Women[[#This Row],[TS SH O 22.02.22]:[PR3]],3)</f>
        <v>35.200000000000003</v>
      </c>
      <c r="J35" s="11">
        <f>RANK(K35,$K$7:$K$108,0)</f>
        <v>30</v>
      </c>
      <c r="K35" s="109">
        <f>SUM(L35:AA35)</f>
        <v>141.19999999999999</v>
      </c>
      <c r="L35" s="128" t="str">
        <f>IFERROR(VLOOKUP(Women[[#This Row],[TS SH O 22.02.22 Rang]],$AU$15:$AV$72,2,0)*L$5," ")</f>
        <v xml:space="preserve"> </v>
      </c>
      <c r="M35" s="109" t="str">
        <f>IFERROR(VLOOKUP(Women[[#This Row],[TS SH W 22.02.22 Rang]],$AR$15:$AS$72,2,0)*M$5," ")</f>
        <v xml:space="preserve"> </v>
      </c>
      <c r="N35" s="109" t="str">
        <f>IFERROR(VLOOKUP(Women[[#This Row],[TS LU W 12.03.22 Rang]],$AR$15:$AS$72,2,0)*N$5," ")</f>
        <v xml:space="preserve"> </v>
      </c>
      <c r="O35" s="128" t="str">
        <f>IFERROR(VLOOKUP(Women[[#This Row],[TS SH O 23.04.22 Rang]],$AU$15:$AV$72,2,0)*O$5," ")</f>
        <v xml:space="preserve"> </v>
      </c>
      <c r="P35" s="177">
        <f>IFERROR(VLOOKUP(Women[[#This Row],[TS LA W 08.05.22 Rang]],$AR$15:$AS$72,2,0)*P$5," ")</f>
        <v>44.4</v>
      </c>
      <c r="Q35" s="128" t="str">
        <f>IFERROR(VLOOKUP(Women[[#This Row],[TS SG O 25.05.22 Rang]],$AU$15:$AV$72,2,0)*Q$5," ")</f>
        <v xml:space="preserve"> </v>
      </c>
      <c r="R35" s="177">
        <f>IFERROR(VLOOKUP(Women[[#This Row],[TS SG W 25.05.22 Rang]],$AR$15:$AS$72,2,0)*R$5," ")</f>
        <v>61.6</v>
      </c>
      <c r="S35" s="128" t="str">
        <f>IFERROR(VLOOKUP(Women[[#This Row],[TS SH O 25.06.22 Rang]],$AU$15:$AV$72,2,0)*$S$5," ")</f>
        <v xml:space="preserve"> </v>
      </c>
      <c r="T35" s="177" t="str">
        <f>IFERROR(VLOOKUP(Women[[#This Row],[TS SH W 25.06.22 Rang]],$AR$15:$AS$72,2,0)*T$5," ")</f>
        <v xml:space="preserve"> </v>
      </c>
      <c r="U35" s="177" t="str">
        <f>IFERROR(VLOOKUP(Women[[#This Row],[TS ZH W 02.07.22 Rang]],$AR$15:$AS$72,2,0)*U$5," ")</f>
        <v xml:space="preserve"> </v>
      </c>
      <c r="V35" s="128" t="str">
        <f>IFERROR(VLOOKUP(Women[[#This Row],[SM BE O/A 09.07.22 Rang]],$AU$15:$AV$72,2,0)*V33," ")</f>
        <v xml:space="preserve"> </v>
      </c>
      <c r="W35" s="128" t="str">
        <f>IFERROR(VLOOKUP(Women[[#This Row],[SM BE O/B 09.07.22 Rang]],$AU$15:$AV$72,2,0)*$W$5," ")</f>
        <v xml:space="preserve"> </v>
      </c>
      <c r="X35" s="177">
        <f>IFERROR(VLOOKUP(Women[[#This Row],[SM BE W 09.07.22 Rang]],$AR$15:$AS$72,2,0)*X$5," ")</f>
        <v>35.200000000000003</v>
      </c>
      <c r="Y35" s="11">
        <v>0</v>
      </c>
      <c r="Z35" s="11">
        <v>0</v>
      </c>
      <c r="AA35" s="11">
        <v>0</v>
      </c>
      <c r="AB35" s="131"/>
      <c r="AC35" s="129"/>
      <c r="AD35" s="129"/>
      <c r="AE35" s="131"/>
      <c r="AF35" s="129">
        <v>7</v>
      </c>
      <c r="AG35" s="131"/>
      <c r="AH35" s="62">
        <v>5</v>
      </c>
      <c r="AI35" s="131"/>
      <c r="AJ35" s="129"/>
      <c r="AK35" s="129"/>
      <c r="AL35" s="131"/>
      <c r="AM35" s="131"/>
      <c r="AN35" s="122">
        <v>12</v>
      </c>
      <c r="AO35" s="16"/>
      <c r="AP35" s="16"/>
      <c r="AQ35" s="16"/>
      <c r="AR35" s="47">
        <v>20</v>
      </c>
      <c r="AS35" s="49">
        <v>15</v>
      </c>
      <c r="AT35" s="16"/>
      <c r="AU35" s="49">
        <v>20</v>
      </c>
      <c r="AV35" s="49">
        <v>30</v>
      </c>
      <c r="AW35" s="16"/>
      <c r="AX35" s="17">
        <f ca="1">RANK(BA35,Tabel64873576167717377792[Punkte],0)</f>
        <v>2</v>
      </c>
      <c r="AY35" s="17" t="s">
        <v>13</v>
      </c>
      <c r="AZ35" s="17">
        <f>COUNTIF(Women[Club],Tabel64873576167717377792[[#This Row],[Club]])</f>
        <v>9</v>
      </c>
      <c r="BA35" s="17">
        <f ca="1">SUMIF(Women[Club],Tabel64873576167717377792[[#This Row],[Club]],$F$7)</f>
        <v>3963.2000000000003</v>
      </c>
    </row>
    <row r="36" spans="1:53" s="4" customFormat="1" ht="17" x14ac:dyDescent="0.2">
      <c r="A36" s="112">
        <v>25</v>
      </c>
      <c r="B36" s="17">
        <f>IF(Women[[#This Row],[PR Rang beim letzten Turnier]]&gt;Women[[#This Row],[PR Rang]],1,IF(Women[[#This Row],[PR Rang]]=Women[[#This Row],[PR Rang beim letzten Turnier]],0,-1))</f>
        <v>-1</v>
      </c>
      <c r="C36" s="112">
        <f>RANK(Women[[#This Row],[PR Punkte]],Women[PR Punkte],0)</f>
        <v>30</v>
      </c>
      <c r="D36" s="119" t="s">
        <v>161</v>
      </c>
      <c r="E36" s="9" t="s">
        <v>10</v>
      </c>
      <c r="F36" s="109">
        <f>SUM(Women[[#This Row],[PR 1]:[PR 3]])</f>
        <v>128.5</v>
      </c>
      <c r="G36" s="109">
        <f>LARGE(Women[[#This Row],[TS SH O 22.02.22]:[PR3]],1)</f>
        <v>60.8</v>
      </c>
      <c r="H36" s="109">
        <f>LARGE(Women[[#This Row],[TS SH O 22.02.22]:[PR3]],2)</f>
        <v>35.200000000000003</v>
      </c>
      <c r="I36" s="109">
        <f>LARGE(Women[[#This Row],[TS SH O 22.02.22]:[PR3]],3)</f>
        <v>32.5</v>
      </c>
      <c r="J36" s="9">
        <f>RANK(K36,$K$7:$K$108,0)</f>
        <v>31</v>
      </c>
      <c r="K36" s="109">
        <f>SUM(L36:AA36)</f>
        <v>128.5</v>
      </c>
      <c r="L36" s="128" t="str">
        <f>IFERROR(VLOOKUP(Women[[#This Row],[TS SH O 22.02.22 Rang]],$AU$15:$AV$72,2,0)*L$5," ")</f>
        <v xml:space="preserve"> </v>
      </c>
      <c r="M36" s="109">
        <f>IFERROR(VLOOKUP(Women[[#This Row],[TS SH W 22.02.22 Rang]],$AR$15:$AS$72,2,0)*M$5," ")</f>
        <v>60.8</v>
      </c>
      <c r="N36" s="109" t="str">
        <f>IFERROR(VLOOKUP(Women[[#This Row],[TS LU W 12.03.22 Rang]],$AR$15:$AS$72,2,0)*N$5," ")</f>
        <v xml:space="preserve"> </v>
      </c>
      <c r="O36" s="128" t="str">
        <f>IFERROR(VLOOKUP(Women[[#This Row],[TS SH O 23.04.22 Rang]],$AU$15:$AV$72,2,0)*O$5," ")</f>
        <v xml:space="preserve"> </v>
      </c>
      <c r="P36" s="177" t="str">
        <f>IFERROR(VLOOKUP(Women[[#This Row],[TS LA W 08.05.22 Rang]],$AR$15:$AS$72,2,0)*P$5," ")</f>
        <v xml:space="preserve"> </v>
      </c>
      <c r="Q36" s="128" t="str">
        <f>IFERROR(VLOOKUP(Women[[#This Row],[TS SG O 25.05.22 Rang]],$AU$15:$AV$72,2,0)*Q$5," ")</f>
        <v xml:space="preserve"> </v>
      </c>
      <c r="R36" s="177" t="str">
        <f>IFERROR(VLOOKUP(Women[[#This Row],[TS SG W 25.05.22 Rang]],$AR$15:$AS$72,2,0)*R$5," ")</f>
        <v xml:space="preserve"> </v>
      </c>
      <c r="S36" s="128" t="str">
        <f>IFERROR(VLOOKUP(Women[[#This Row],[TS SH O 25.06.22 Rang]],$AU$15:$AV$72,2,0)*$S$5," ")</f>
        <v xml:space="preserve"> </v>
      </c>
      <c r="T36" s="177" t="str">
        <f>IFERROR(VLOOKUP(Women[[#This Row],[TS SH W 25.06.22 Rang]],$AR$15:$AS$72,2,0)*T$5," ")</f>
        <v xml:space="preserve"> </v>
      </c>
      <c r="U36" s="177">
        <f>IFERROR(VLOOKUP(Women[[#This Row],[TS ZH W 02.07.22 Rang]],$AR$15:$AS$72,2,0)*U$5," ")</f>
        <v>32.5</v>
      </c>
      <c r="V36" s="128" t="str">
        <f>IFERROR(VLOOKUP(Women[[#This Row],[SM BE O/A 09.07.22 Rang]],$AU$15:$AV$72,2,0)*V34," ")</f>
        <v xml:space="preserve"> </v>
      </c>
      <c r="W36" s="128" t="str">
        <f>IFERROR(VLOOKUP(Women[[#This Row],[SM BE O/B 09.07.22 Rang]],$AU$15:$AV$72,2,0)*$W$5," ")</f>
        <v xml:space="preserve"> </v>
      </c>
      <c r="X36" s="177">
        <f>IFERROR(VLOOKUP(Women[[#This Row],[SM BE W 09.07.22 Rang]],$AR$15:$AS$72,2,0)*X$5," ")</f>
        <v>35.200000000000003</v>
      </c>
      <c r="Y36" s="11">
        <v>0</v>
      </c>
      <c r="Z36" s="11">
        <v>0</v>
      </c>
      <c r="AA36" s="11">
        <v>0</v>
      </c>
      <c r="AB36" s="132"/>
      <c r="AC36" s="130">
        <v>5</v>
      </c>
      <c r="AD36" s="130"/>
      <c r="AE36" s="132"/>
      <c r="AF36" s="130"/>
      <c r="AG36" s="132"/>
      <c r="AH36" s="130"/>
      <c r="AI36" s="132"/>
      <c r="AJ36" s="130"/>
      <c r="AK36" s="130">
        <v>8</v>
      </c>
      <c r="AL36" s="132"/>
      <c r="AM36" s="132"/>
      <c r="AN36" s="130">
        <v>11</v>
      </c>
      <c r="AO36" s="16"/>
      <c r="AP36" s="16"/>
      <c r="AQ36" s="16"/>
      <c r="AR36" s="47">
        <v>21</v>
      </c>
      <c r="AS36" s="49">
        <v>15</v>
      </c>
      <c r="AT36" s="16"/>
      <c r="AU36" s="49">
        <v>21</v>
      </c>
      <c r="AV36" s="49">
        <v>30</v>
      </c>
      <c r="AW36" s="16"/>
      <c r="AX36" s="17">
        <f ca="1">RANK(BA36,Tabel64873576167717377792[Punkte],0)</f>
        <v>3</v>
      </c>
      <c r="AY36" s="17" t="s">
        <v>8</v>
      </c>
      <c r="AZ36" s="17">
        <f>COUNTIF(Women[Club],Tabel64873576167717377792[[#This Row],[Club]])</f>
        <v>10</v>
      </c>
      <c r="BA36" s="17">
        <f ca="1">SUMIF(Women[Club],Tabel64873576167717377792[[#This Row],[Club]],$F$7)</f>
        <v>1941.2000000000003</v>
      </c>
    </row>
    <row r="37" spans="1:53" s="4" customFormat="1" x14ac:dyDescent="0.2">
      <c r="A37" s="112">
        <v>33</v>
      </c>
      <c r="B37" s="17">
        <f>IF(Women[[#This Row],[PR Rang beim letzten Turnier]]&gt;Women[[#This Row],[PR Rang]],1,IF(Women[[#This Row],[PR Rang]]=Women[[#This Row],[PR Rang beim letzten Turnier]],0,-1))</f>
        <v>1</v>
      </c>
      <c r="C37" s="112">
        <f>RANK(Women[[#This Row],[PR Punkte]],Women[PR Punkte],0)</f>
        <v>31</v>
      </c>
      <c r="D37" s="43" t="s">
        <v>313</v>
      </c>
      <c r="E37" s="17" t="s">
        <v>7</v>
      </c>
      <c r="F37" s="109">
        <f>SUM(Women[[#This Row],[PR 1]:[PR 3]])</f>
        <v>122.80000000000001</v>
      </c>
      <c r="G37" s="109">
        <f>LARGE(Women[[#This Row],[TS SH O 22.02.22]:[PR3]],1)</f>
        <v>53.2</v>
      </c>
      <c r="H37" s="109">
        <f>LARGE(Women[[#This Row],[TS SH O 22.02.22]:[PR3]],2)</f>
        <v>35.200000000000003</v>
      </c>
      <c r="I37" s="109">
        <f>LARGE(Women[[#This Row],[TS SH O 22.02.22]:[PR3]],3)</f>
        <v>34.4</v>
      </c>
      <c r="J37" s="17">
        <f>RANK(K37,$K$7:$K$108,0)</f>
        <v>32</v>
      </c>
      <c r="K37" s="109">
        <f>SUM(L37:AA37)</f>
        <v>122.8</v>
      </c>
      <c r="L37" s="128" t="str">
        <f>IFERROR(VLOOKUP(Women[[#This Row],[TS SH O 22.02.22 Rang]],$AU$15:$AV$72,2,0)*L$5," ")</f>
        <v xml:space="preserve"> </v>
      </c>
      <c r="M37" s="109">
        <f>IFERROR(VLOOKUP(Women[[#This Row],[TS SH W 22.02.22 Rang]],$AR$15:$AS$72,2,0)*M$5," ")</f>
        <v>53.2</v>
      </c>
      <c r="N37" s="109">
        <f>IFERROR(VLOOKUP(Women[[#This Row],[TS LU W 12.03.22 Rang]],$AR$15:$AS$72,2,0)*N$5," ")</f>
        <v>34.4</v>
      </c>
      <c r="O37" s="128" t="str">
        <f>IFERROR(VLOOKUP(Women[[#This Row],[TS SH O 23.04.22 Rang]],$AU$15:$AV$72,2,0)*O$5," ")</f>
        <v xml:space="preserve"> </v>
      </c>
      <c r="P37" s="177" t="str">
        <f>IFERROR(VLOOKUP(Women[[#This Row],[TS LA W 08.05.22 Rang]],$AR$15:$AS$72,2,0)*P$5," ")</f>
        <v xml:space="preserve"> </v>
      </c>
      <c r="Q37" s="128" t="str">
        <f>IFERROR(VLOOKUP(Women[[#This Row],[TS SG O 25.05.22 Rang]],$AU$15:$AV$72,2,0)*Q$5," ")</f>
        <v xml:space="preserve"> </v>
      </c>
      <c r="R37" s="177" t="str">
        <f>IFERROR(VLOOKUP(Women[[#This Row],[TS SG W 25.05.22 Rang]],$AR$15:$AS$72,2,0)*R$5," ")</f>
        <v xml:space="preserve"> </v>
      </c>
      <c r="S37" s="128" t="str">
        <f>IFERROR(VLOOKUP(Women[[#This Row],[TS SH O 25.06.22 Rang]],$AU$15:$AV$72,2,0)*$S$5," ")</f>
        <v xml:space="preserve"> </v>
      </c>
      <c r="T37" s="177" t="str">
        <f>IFERROR(VLOOKUP(Women[[#This Row],[TS SH W 25.06.22 Rang]],$AR$15:$AS$72,2,0)*T$5," ")</f>
        <v xml:space="preserve"> </v>
      </c>
      <c r="U37" s="177" t="str">
        <f>IFERROR(VLOOKUP(Women[[#This Row],[TS ZH W 02.07.22 Rang]],$AR$15:$AS$72,2,0)*U$5," ")</f>
        <v xml:space="preserve"> </v>
      </c>
      <c r="V37" s="128" t="str">
        <f>IFERROR(VLOOKUP(Women[[#This Row],[SM BE O/A 09.07.22 Rang]],$AU$15:$AV$72,2,0)*V35," ")</f>
        <v xml:space="preserve"> </v>
      </c>
      <c r="W37" s="128" t="str">
        <f>IFERROR(VLOOKUP(Women[[#This Row],[SM BE O/B 09.07.22 Rang]],$AU$15:$AV$72,2,0)*$W$5," ")</f>
        <v xml:space="preserve"> </v>
      </c>
      <c r="X37" s="177">
        <f>IFERROR(VLOOKUP(Women[[#This Row],[SM BE W 09.07.22 Rang]],$AR$15:$AS$72,2,0)*X$5," ")</f>
        <v>35.200000000000003</v>
      </c>
      <c r="Y37" s="11">
        <v>0</v>
      </c>
      <c r="Z37" s="11">
        <v>0</v>
      </c>
      <c r="AA37" s="11">
        <v>0</v>
      </c>
      <c r="AB37" s="132"/>
      <c r="AC37" s="130">
        <v>6</v>
      </c>
      <c r="AD37" s="130">
        <v>9</v>
      </c>
      <c r="AE37" s="132"/>
      <c r="AF37" s="130"/>
      <c r="AG37" s="132"/>
      <c r="AH37" s="130"/>
      <c r="AI37" s="132"/>
      <c r="AJ37" s="130"/>
      <c r="AK37" s="130"/>
      <c r="AL37" s="132"/>
      <c r="AM37" s="132"/>
      <c r="AN37" s="130">
        <v>15</v>
      </c>
      <c r="AO37" s="16"/>
      <c r="AP37" s="16"/>
      <c r="AQ37" s="16"/>
      <c r="AR37" s="47">
        <v>22</v>
      </c>
      <c r="AS37" s="49">
        <v>15</v>
      </c>
      <c r="AT37" s="16"/>
      <c r="AU37" s="49">
        <v>22</v>
      </c>
      <c r="AV37" s="49">
        <v>30</v>
      </c>
      <c r="AW37" s="16"/>
      <c r="AX37" s="17">
        <f ca="1">RANK(BA37,Tabel64873576167717377792[Punkte],0)</f>
        <v>4</v>
      </c>
      <c r="AY37" s="17" t="s">
        <v>10</v>
      </c>
      <c r="AZ37" s="17">
        <f>COUNTIF(Women[Club],Tabel64873576167717377792[[#This Row],[Club]])</f>
        <v>17</v>
      </c>
      <c r="BA37" s="17">
        <f ca="1">SUMIF(Women[Club],Tabel64873576167717377792[[#This Row],[Club]],$F$7)</f>
        <v>1904.7000000000005</v>
      </c>
    </row>
    <row r="38" spans="1:53" s="4" customFormat="1" x14ac:dyDescent="0.2">
      <c r="A38" s="112">
        <v>41</v>
      </c>
      <c r="B38" s="17">
        <f>IF(Women[[#This Row],[PR Rang beim letzten Turnier]]&gt;Women[[#This Row],[PR Rang]],1,IF(Women[[#This Row],[PR Rang]]=Women[[#This Row],[PR Rang beim letzten Turnier]],0,-1))</f>
        <v>1</v>
      </c>
      <c r="C38" s="112">
        <f>RANK(Women[[#This Row],[PR Punkte]],Women[PR Punkte],0)</f>
        <v>31</v>
      </c>
      <c r="D38" s="13" t="s">
        <v>475</v>
      </c>
      <c r="E38" s="11" t="s">
        <v>10</v>
      </c>
      <c r="F38" s="109">
        <f>SUM(Women[[#This Row],[PR 1]:[PR 3]])</f>
        <v>122.80000000000001</v>
      </c>
      <c r="G38" s="109">
        <f>LARGE(Women[[#This Row],[TS SH O 22.02.22]:[PR3]],1)</f>
        <v>53.2</v>
      </c>
      <c r="H38" s="109">
        <f>LARGE(Women[[#This Row],[TS SH O 22.02.22]:[PR3]],2)</f>
        <v>35.200000000000003</v>
      </c>
      <c r="I38" s="109">
        <f>LARGE(Women[[#This Row],[TS SH O 22.02.22]:[PR3]],3)</f>
        <v>34.4</v>
      </c>
      <c r="J38" s="11">
        <f>RANK(K38,$K$7:$K$108,0)</f>
        <v>32</v>
      </c>
      <c r="K38" s="268">
        <f>SUM(L38:AA38)</f>
        <v>122.8</v>
      </c>
      <c r="L38" s="128" t="str">
        <f>IFERROR(VLOOKUP(Women[[#This Row],[TS SH O 22.02.22 Rang]],$AU$15:$AV$72,2,0)*L$5," ")</f>
        <v xml:space="preserve"> </v>
      </c>
      <c r="M38" s="109" t="str">
        <f>IFERROR(VLOOKUP(Women[[#This Row],[TS SH W 22.02.22 Rang]],$AR$15:$AS$72,2,0)*M$5," ")</f>
        <v xml:space="preserve"> </v>
      </c>
      <c r="N38" s="109">
        <f>IFERROR(VLOOKUP(Women[[#This Row],[TS LU W 12.03.22 Rang]],$AR$15:$AS$72,2,0)*N$5," ")</f>
        <v>34.4</v>
      </c>
      <c r="O38" s="128" t="str">
        <f>IFERROR(VLOOKUP(Women[[#This Row],[TS SH O 23.04.22 Rang]],$AU$15:$AV$72,2,0)*O$5," ")</f>
        <v xml:space="preserve"> </v>
      </c>
      <c r="P38" s="177" t="str">
        <f>IFERROR(VLOOKUP(Women[[#This Row],[TS LA W 08.05.22 Rang]],$AR$15:$AS$72,2,0)*P$5," ")</f>
        <v xml:space="preserve"> </v>
      </c>
      <c r="Q38" s="128" t="str">
        <f>IFERROR(VLOOKUP(Women[[#This Row],[TS SG O 25.05.22 Rang]],$AU$15:$AV$72,2,0)*Q$5," ")</f>
        <v xml:space="preserve"> </v>
      </c>
      <c r="R38" s="177" t="str">
        <f>IFERROR(VLOOKUP(Women[[#This Row],[TS SG W 25.05.22 Rang]],$AR$15:$AS$72,2,0)*R$5," ")</f>
        <v xml:space="preserve"> </v>
      </c>
      <c r="S38" s="128" t="str">
        <f>IFERROR(VLOOKUP(Women[[#This Row],[TS SH O 25.06.22 Rang]],$AU$15:$AV$72,2,0)*$S$5," ")</f>
        <v xml:space="preserve"> </v>
      </c>
      <c r="T38" s="177">
        <f>IFERROR(VLOOKUP(Women[[#This Row],[TS SH W 25.06.22 Rang]],$AR$15:$AS$72,2,0)*T$5," ")</f>
        <v>53.2</v>
      </c>
      <c r="U38" s="177" t="str">
        <f>IFERROR(VLOOKUP(Women[[#This Row],[TS ZH W 02.07.22 Rang]],$AR$15:$AS$72,2,0)*U$5," ")</f>
        <v xml:space="preserve"> </v>
      </c>
      <c r="V38" s="128" t="str">
        <f>IFERROR(VLOOKUP(Women[[#This Row],[SM BE O/A 09.07.22 Rang]],$AU$15:$AV$72,2,0)*V36," ")</f>
        <v xml:space="preserve"> </v>
      </c>
      <c r="W38" s="128" t="str">
        <f>IFERROR(VLOOKUP(Women[[#This Row],[SM BE O/B 09.07.22 Rang]],$AU$15:$AV$72,2,0)*$W$5," ")</f>
        <v xml:space="preserve"> </v>
      </c>
      <c r="X38" s="177">
        <f>IFERROR(VLOOKUP(Women[[#This Row],[SM BE W 09.07.22 Rang]],$AR$15:$AS$72,2,0)*X$5," ")</f>
        <v>35.200000000000003</v>
      </c>
      <c r="Y38" s="11">
        <v>0</v>
      </c>
      <c r="Z38" s="11">
        <v>0</v>
      </c>
      <c r="AA38" s="11">
        <v>0</v>
      </c>
      <c r="AB38" s="131"/>
      <c r="AC38" s="129"/>
      <c r="AD38" s="129">
        <v>15</v>
      </c>
      <c r="AE38" s="131"/>
      <c r="AF38" s="129"/>
      <c r="AG38" s="131"/>
      <c r="AH38" s="129"/>
      <c r="AI38" s="131"/>
      <c r="AJ38" s="129">
        <v>6</v>
      </c>
      <c r="AK38" s="129"/>
      <c r="AL38" s="131"/>
      <c r="AM38" s="131"/>
      <c r="AN38" s="129">
        <v>10</v>
      </c>
      <c r="AO38" s="16"/>
      <c r="AP38" s="16"/>
      <c r="AQ38" s="16"/>
      <c r="AR38" s="47">
        <v>23</v>
      </c>
      <c r="AS38" s="49">
        <v>15</v>
      </c>
      <c r="AT38" s="16"/>
      <c r="AU38" s="49">
        <v>23</v>
      </c>
      <c r="AV38" s="49">
        <v>30</v>
      </c>
      <c r="AW38" s="16"/>
      <c r="AX38" s="17">
        <f ca="1">RANK(BA38,Tabel64873576167717377792[Punkte],0)</f>
        <v>5</v>
      </c>
      <c r="AY38" s="17" t="s">
        <v>12</v>
      </c>
      <c r="AZ38" s="17">
        <f>COUNTIF(Women[Club],Tabel64873576167717377792[[#This Row],[Club]])</f>
        <v>2</v>
      </c>
      <c r="BA38" s="17">
        <f ca="1">SUMIF(Women[Club],Tabel64873576167717377792[[#This Row],[Club]],$F$7)</f>
        <v>951.5</v>
      </c>
    </row>
    <row r="39" spans="1:53" s="4" customFormat="1" x14ac:dyDescent="0.2">
      <c r="A39" s="112">
        <v>35</v>
      </c>
      <c r="B39" s="17">
        <f>IF(Women[[#This Row],[PR Rang beim letzten Turnier]]&gt;Women[[#This Row],[PR Rang]],1,IF(Women[[#This Row],[PR Rang]]=Women[[#This Row],[PR Rang beim letzten Turnier]],0,-1))</f>
        <v>1</v>
      </c>
      <c r="C39" s="112">
        <f>RANK(Women[[#This Row],[PR Punkte]],Women[PR Punkte],0)</f>
        <v>31</v>
      </c>
      <c r="D39" s="17" t="s">
        <v>39</v>
      </c>
      <c r="E39" s="9" t="s">
        <v>7</v>
      </c>
      <c r="F39" s="177">
        <f>SUM(Women[[#This Row],[PR 1]:[PR 3]])</f>
        <v>122.80000000000001</v>
      </c>
      <c r="G39" s="109">
        <f>LARGE(Women[[#This Row],[TS SH O 22.02.22]:[PR3]],1)</f>
        <v>53.2</v>
      </c>
      <c r="H39" s="109">
        <f>LARGE(Women[[#This Row],[TS SH O 22.02.22]:[PR3]],2)</f>
        <v>35.200000000000003</v>
      </c>
      <c r="I39" s="109">
        <f>LARGE(Women[[#This Row],[TS SH O 22.02.22]:[PR3]],3)</f>
        <v>34.4</v>
      </c>
      <c r="J39" s="9">
        <f>RANK(K39,$K$7:$K$108,0)</f>
        <v>27</v>
      </c>
      <c r="K39" s="109">
        <f>SUM(L39:AA39)</f>
        <v>153.6</v>
      </c>
      <c r="L39" s="128" t="str">
        <f>IFERROR(VLOOKUP(Women[[#This Row],[TS SH O 22.02.22 Rang]],$AU$15:$AV$72,2,0)*L$5," ")</f>
        <v xml:space="preserve"> </v>
      </c>
      <c r="M39" s="109">
        <f>IFERROR(VLOOKUP(Women[[#This Row],[TS SH W 22.02.22 Rang]],$AR$15:$AS$72,2,0)*M$5," ")</f>
        <v>53.2</v>
      </c>
      <c r="N39" s="109">
        <f>IFERROR(VLOOKUP(Women[[#This Row],[TS LU W 12.03.22 Rang]],$AR$15:$AS$72,2,0)*N$5," ")</f>
        <v>34.4</v>
      </c>
      <c r="O39" s="128" t="str">
        <f>IFERROR(VLOOKUP(Women[[#This Row],[TS SH O 23.04.22 Rang]],$AU$15:$AV$72,2,0)*O$5," ")</f>
        <v xml:space="preserve"> </v>
      </c>
      <c r="P39" s="177" t="str">
        <f>IFERROR(VLOOKUP(Women[[#This Row],[TS LA W 08.05.22 Rang]],$AR$15:$AS$72,2,0)*P$5," ")</f>
        <v xml:space="preserve"> </v>
      </c>
      <c r="Q39" s="128" t="str">
        <f>IFERROR(VLOOKUP(Women[[#This Row],[TS SG O 25.05.22 Rang]],$AU$15:$AV$72,2,0)*Q$5," ")</f>
        <v xml:space="preserve"> </v>
      </c>
      <c r="R39" s="177">
        <f>IFERROR(VLOOKUP(Women[[#This Row],[TS SG W 25.05.22 Rang]],$AR$15:$AS$72,2,0)*R$5," ")</f>
        <v>30.8</v>
      </c>
      <c r="S39" s="128" t="str">
        <f>IFERROR(VLOOKUP(Women[[#This Row],[TS SH O 25.06.22 Rang]],$AU$15:$AV$72,2,0)*$S$5," ")</f>
        <v xml:space="preserve"> </v>
      </c>
      <c r="T39" s="177" t="str">
        <f>IFERROR(VLOOKUP(Women[[#This Row],[TS SH W 25.06.22 Rang]],$AR$15:$AS$72,2,0)*T$5," ")</f>
        <v xml:space="preserve"> </v>
      </c>
      <c r="U39" s="177" t="str">
        <f>IFERROR(VLOOKUP(Women[[#This Row],[TS ZH W 02.07.22 Rang]],$AR$15:$AS$72,2,0)*U$5," ")</f>
        <v xml:space="preserve"> </v>
      </c>
      <c r="V39" s="128" t="str">
        <f>IFERROR(VLOOKUP(Women[[#This Row],[SM BE O/A 09.07.22 Rang]],$AU$15:$AV$72,2,0)*V37," ")</f>
        <v xml:space="preserve"> </v>
      </c>
      <c r="W39" s="128" t="str">
        <f>IFERROR(VLOOKUP(Women[[#This Row],[SM BE O/B 09.07.22 Rang]],$AU$15:$AV$72,2,0)*$W$5," ")</f>
        <v xml:space="preserve"> </v>
      </c>
      <c r="X39" s="177">
        <f>IFERROR(VLOOKUP(Women[[#This Row],[SM BE W 09.07.22 Rang]],$AR$15:$AS$72,2,0)*X$5," ")</f>
        <v>35.200000000000003</v>
      </c>
      <c r="Y39" s="11">
        <v>0</v>
      </c>
      <c r="Z39" s="11">
        <v>0</v>
      </c>
      <c r="AA39" s="11">
        <v>0</v>
      </c>
      <c r="AB39" s="131"/>
      <c r="AC39" s="122">
        <v>6</v>
      </c>
      <c r="AD39" s="122">
        <v>13</v>
      </c>
      <c r="AE39" s="131"/>
      <c r="AF39" s="129"/>
      <c r="AG39" s="131"/>
      <c r="AH39" s="129">
        <v>9</v>
      </c>
      <c r="AI39" s="131"/>
      <c r="AJ39" s="129"/>
      <c r="AK39" s="129"/>
      <c r="AL39" s="131"/>
      <c r="AM39" s="131"/>
      <c r="AN39" s="129">
        <v>15</v>
      </c>
      <c r="AO39" s="16"/>
      <c r="AP39" s="16"/>
      <c r="AQ39" s="16"/>
      <c r="AR39" s="47">
        <v>24</v>
      </c>
      <c r="AS39" s="49">
        <v>15</v>
      </c>
      <c r="AT39" s="16"/>
      <c r="AU39" s="49">
        <v>24</v>
      </c>
      <c r="AV39" s="49">
        <v>30</v>
      </c>
      <c r="AW39" s="16"/>
      <c r="AX39" s="17">
        <f ca="1">RANK(BA39,Tabel64873576167717377792[Punkte],0)</f>
        <v>7</v>
      </c>
      <c r="AY39" s="17" t="s">
        <v>18</v>
      </c>
      <c r="AZ39" s="17">
        <f>COUNTIF(Women[Club],Tabel64873576167717377792[[#This Row],[Club]])</f>
        <v>5</v>
      </c>
      <c r="BA39" s="17">
        <f ca="1">SUMIF(Women[Club],Tabel64873576167717377792[[#This Row],[Club]],$F$7)</f>
        <v>600.4</v>
      </c>
    </row>
    <row r="40" spans="1:53" s="4" customFormat="1" x14ac:dyDescent="0.2">
      <c r="A40" s="112">
        <v>19</v>
      </c>
      <c r="B40" s="17">
        <f>IF(Women[[#This Row],[PR Rang beim letzten Turnier]]&gt;Women[[#This Row],[PR Rang]],1,IF(Women[[#This Row],[PR Rang]]=Women[[#This Row],[PR Rang beim letzten Turnier]],0,-1))</f>
        <v>-1</v>
      </c>
      <c r="C40" s="112">
        <f>RANK(Women[[#This Row],[PR Punkte]],Women[PR Punkte],0)</f>
        <v>34</v>
      </c>
      <c r="D40" s="17" t="s">
        <v>159</v>
      </c>
      <c r="E40" s="9" t="s">
        <v>14</v>
      </c>
      <c r="F40" s="177">
        <f>SUM(Women[[#This Row],[PR 1]:[PR 3]])</f>
        <v>106</v>
      </c>
      <c r="G40" s="109">
        <f>LARGE(Women[[#This Row],[TS SH O 22.02.22]:[PR3]],1)</f>
        <v>61.6</v>
      </c>
      <c r="H40" s="109">
        <f>LARGE(Women[[#This Row],[TS SH O 22.02.22]:[PR3]],2)</f>
        <v>44.4</v>
      </c>
      <c r="I40" s="109">
        <f>LARGE(Women[[#This Row],[TS SH O 22.02.22]:[PR3]],3)</f>
        <v>0</v>
      </c>
      <c r="J40" s="9">
        <f>RANK(K40,$K$7:$K$108,0)</f>
        <v>34</v>
      </c>
      <c r="K40" s="109">
        <f>SUM(L40:AA40)</f>
        <v>106</v>
      </c>
      <c r="L40" s="128" t="str">
        <f>IFERROR(VLOOKUP(Women[[#This Row],[TS SH O 22.02.22 Rang]],$AU$15:$AV$72,2,0)*L$5," ")</f>
        <v xml:space="preserve"> </v>
      </c>
      <c r="M40" s="109" t="str">
        <f>IFERROR(VLOOKUP(Women[[#This Row],[TS SH W 22.02.22 Rang]],$AR$15:$AS$72,2,0)*M$5," ")</f>
        <v xml:space="preserve"> </v>
      </c>
      <c r="N40" s="109" t="str">
        <f>IFERROR(VLOOKUP(Women[[#This Row],[TS LU W 12.03.22 Rang]],$AR$15:$AS$72,2,0)*N$5," ")</f>
        <v xml:space="preserve"> </v>
      </c>
      <c r="O40" s="128" t="str">
        <f>IFERROR(VLOOKUP(Women[[#This Row],[TS SH O 23.04.22 Rang]],$AU$15:$AV$72,2,0)*O$5," ")</f>
        <v xml:space="preserve"> </v>
      </c>
      <c r="P40" s="177">
        <f>IFERROR(VLOOKUP(Women[[#This Row],[TS LA W 08.05.22 Rang]],$AR$15:$AS$72,2,0)*P$5," ")</f>
        <v>44.4</v>
      </c>
      <c r="Q40" s="128" t="str">
        <f>IFERROR(VLOOKUP(Women[[#This Row],[TS SG O 25.05.22 Rang]],$AU$15:$AV$72,2,0)*Q$5," ")</f>
        <v xml:space="preserve"> </v>
      </c>
      <c r="R40" s="177">
        <f>IFERROR(VLOOKUP(Women[[#This Row],[TS SG W 25.05.22 Rang]],$AR$15:$AS$72,2,0)*R$5," ")</f>
        <v>61.6</v>
      </c>
      <c r="S40" s="128" t="str">
        <f>IFERROR(VLOOKUP(Women[[#This Row],[TS SH O 25.06.22 Rang]],$AU$15:$AV$72,2,0)*$S$5," ")</f>
        <v xml:space="preserve"> </v>
      </c>
      <c r="T40" s="177" t="str">
        <f>IFERROR(VLOOKUP(Women[[#This Row],[TS SH W 25.06.22 Rang]],$AR$15:$AS$72,2,0)*T$5," ")</f>
        <v xml:space="preserve"> </v>
      </c>
      <c r="U40" s="177" t="str">
        <f>IFERROR(VLOOKUP(Women[[#This Row],[TS ZH W 02.07.22 Rang]],$AR$15:$AS$72,2,0)*U$5," ")</f>
        <v xml:space="preserve"> </v>
      </c>
      <c r="V40" s="128" t="str">
        <f>IFERROR(VLOOKUP(Women[[#This Row],[SM BE O/A 09.07.22 Rang]],$AU$15:$AV$72,2,0)*V38," ")</f>
        <v xml:space="preserve"> </v>
      </c>
      <c r="W40" s="128" t="str">
        <f>IFERROR(VLOOKUP(Women[[#This Row],[SM BE O/B 09.07.22 Rang]],$AU$15:$AV$72,2,0)*$W$5," ")</f>
        <v xml:space="preserve"> </v>
      </c>
      <c r="X40" s="177" t="str">
        <f>IFERROR(VLOOKUP(Women[[#This Row],[SM BE W 09.07.22 Rang]],$AR$15:$AS$72,2,0)*X$5," ")</f>
        <v xml:space="preserve"> </v>
      </c>
      <c r="Y40" s="11">
        <v>0</v>
      </c>
      <c r="Z40" s="11">
        <v>0</v>
      </c>
      <c r="AA40" s="11">
        <v>0</v>
      </c>
      <c r="AB40" s="131"/>
      <c r="AC40" s="129"/>
      <c r="AD40" s="129"/>
      <c r="AE40" s="131"/>
      <c r="AF40" s="122">
        <v>7</v>
      </c>
      <c r="AG40" s="131"/>
      <c r="AH40" s="61">
        <v>5</v>
      </c>
      <c r="AI40" s="131"/>
      <c r="AJ40" s="129"/>
      <c r="AK40" s="129"/>
      <c r="AL40" s="131"/>
      <c r="AM40" s="131"/>
      <c r="AN40" s="129"/>
      <c r="AO40" s="16"/>
      <c r="AP40" s="16"/>
      <c r="AQ40" s="16"/>
      <c r="AR40" s="47">
        <v>25</v>
      </c>
      <c r="AS40" s="49">
        <v>15</v>
      </c>
      <c r="AT40" s="16"/>
      <c r="AU40" s="49">
        <v>25</v>
      </c>
      <c r="AV40" s="49">
        <v>30</v>
      </c>
      <c r="AW40" s="16"/>
      <c r="AX40" s="17">
        <f ca="1">RANK(BA40,Tabel64873576167717377792[Punkte],0)</f>
        <v>10</v>
      </c>
      <c r="AY40" s="17" t="s">
        <v>14</v>
      </c>
      <c r="AZ40" s="17">
        <f>COUNTIF(Women[Club],Tabel64873576167717377792[[#This Row],[Club]])</f>
        <v>2</v>
      </c>
      <c r="BA40" s="17">
        <f ca="1">SUMIF(Women[Club],Tabel64873576167717377792[[#This Row],[Club]],$F$7)</f>
        <v>247.2</v>
      </c>
    </row>
    <row r="41" spans="1:53" s="4" customFormat="1" x14ac:dyDescent="0.2">
      <c r="A41" s="112">
        <v>37</v>
      </c>
      <c r="B41" s="17">
        <f>IF(Women[[#This Row],[PR Rang beim letzten Turnier]]&gt;Women[[#This Row],[PR Rang]],1,IF(Women[[#This Row],[PR Rang]]=Women[[#This Row],[PR Rang beim letzten Turnier]],0,-1))</f>
        <v>1</v>
      </c>
      <c r="C41" s="112">
        <f>RANK(Women[[#This Row],[PR Punkte]],Women[PR Punkte],0)</f>
        <v>35</v>
      </c>
      <c r="D41" s="13" t="s">
        <v>309</v>
      </c>
      <c r="E41" s="11" t="s">
        <v>10</v>
      </c>
      <c r="F41" s="109">
        <f>SUM(Women[[#This Row],[PR 1]:[PR 3]])</f>
        <v>105.5</v>
      </c>
      <c r="G41" s="109">
        <f>LARGE(Women[[#This Row],[TS SH O 22.02.22]:[PR3]],1)</f>
        <v>53.9</v>
      </c>
      <c r="H41" s="109">
        <f>LARGE(Women[[#This Row],[TS SH O 22.02.22]:[PR3]],2)</f>
        <v>51.6</v>
      </c>
      <c r="I41" s="109">
        <f>LARGE(Women[[#This Row],[TS SH O 22.02.22]:[PR3]],3)</f>
        <v>0</v>
      </c>
      <c r="J41" s="11">
        <f>RANK(K41,$K$7:$K$108,0)</f>
        <v>35</v>
      </c>
      <c r="K41" s="109">
        <f>SUM(L41:AA41)</f>
        <v>105.5</v>
      </c>
      <c r="L41" s="128" t="str">
        <f>IFERROR(VLOOKUP(Women[[#This Row],[TS SH O 22.02.22 Rang]],$AU$15:$AV$72,2,0)*L$5," ")</f>
        <v xml:space="preserve"> </v>
      </c>
      <c r="M41" s="109" t="str">
        <f>IFERROR(VLOOKUP(Women[[#This Row],[TS SH W 22.02.22 Rang]],$AR$15:$AS$72,2,0)*M$5," ")</f>
        <v xml:space="preserve"> </v>
      </c>
      <c r="N41" s="109">
        <f>IFERROR(VLOOKUP(Women[[#This Row],[TS LU W 12.03.22 Rang]],$AR$15:$AS$72,2,0)*N$5," ")</f>
        <v>51.6</v>
      </c>
      <c r="O41" s="128" t="str">
        <f>IFERROR(VLOOKUP(Women[[#This Row],[TS SH O 23.04.22 Rang]],$AU$15:$AV$72,2,0)*O$5," ")</f>
        <v xml:space="preserve"> </v>
      </c>
      <c r="P41" s="177" t="str">
        <f>IFERROR(VLOOKUP(Women[[#This Row],[TS LA W 08.05.22 Rang]],$AR$15:$AS$72,2,0)*P$5," ")</f>
        <v xml:space="preserve"> </v>
      </c>
      <c r="Q41" s="128" t="str">
        <f>IFERROR(VLOOKUP(Women[[#This Row],[TS SG O 25.05.22 Rang]],$AU$15:$AV$72,2,0)*Q$5," ")</f>
        <v xml:space="preserve"> </v>
      </c>
      <c r="R41" s="177">
        <f>IFERROR(VLOOKUP(Women[[#This Row],[TS SG W 25.05.22 Rang]],$AR$15:$AS$72,2,0)*R$5," ")</f>
        <v>53.9</v>
      </c>
      <c r="S41" s="128" t="str">
        <f>IFERROR(VLOOKUP(Women[[#This Row],[TS SH O 25.06.22 Rang]],$AU$15:$AV$72,2,0)*$S$5," ")</f>
        <v xml:space="preserve"> </v>
      </c>
      <c r="T41" s="177" t="str">
        <f>IFERROR(VLOOKUP(Women[[#This Row],[TS SH W 25.06.22 Rang]],$AR$15:$AS$72,2,0)*T$5," ")</f>
        <v xml:space="preserve"> </v>
      </c>
      <c r="U41" s="177" t="str">
        <f>IFERROR(VLOOKUP(Women[[#This Row],[TS ZH W 02.07.22 Rang]],$AR$15:$AS$72,2,0)*U$5," ")</f>
        <v xml:space="preserve"> </v>
      </c>
      <c r="V41" s="128" t="str">
        <f>IFERROR(VLOOKUP(Women[[#This Row],[SM BE O/A 09.07.22 Rang]],$AU$15:$AV$72,2,0)*V39," ")</f>
        <v xml:space="preserve"> </v>
      </c>
      <c r="W41" s="128" t="str">
        <f>IFERROR(VLOOKUP(Women[[#This Row],[SM BE O/B 09.07.22 Rang]],$AU$15:$AV$72,2,0)*$W$5," ")</f>
        <v xml:space="preserve"> </v>
      </c>
      <c r="X41" s="177" t="str">
        <f>IFERROR(VLOOKUP(Women[[#This Row],[SM BE W 09.07.22 Rang]],$AR$15:$AS$72,2,0)*X$5," ")</f>
        <v xml:space="preserve"> </v>
      </c>
      <c r="Y41" s="11">
        <v>0</v>
      </c>
      <c r="Z41" s="11">
        <v>0</v>
      </c>
      <c r="AA41" s="11">
        <v>0</v>
      </c>
      <c r="AB41" s="131"/>
      <c r="AC41" s="129"/>
      <c r="AD41" s="129">
        <v>7</v>
      </c>
      <c r="AE41" s="131"/>
      <c r="AF41" s="129"/>
      <c r="AG41" s="131"/>
      <c r="AH41" s="129">
        <v>6</v>
      </c>
      <c r="AI41" s="131"/>
      <c r="AJ41" s="129"/>
      <c r="AK41" s="129"/>
      <c r="AL41" s="131"/>
      <c r="AM41" s="131"/>
      <c r="AN41" s="129"/>
      <c r="AO41" s="16"/>
      <c r="AP41" s="16"/>
      <c r="AQ41" s="16"/>
      <c r="AR41" s="47">
        <v>26</v>
      </c>
      <c r="AS41" s="49">
        <v>15</v>
      </c>
      <c r="AT41" s="16"/>
      <c r="AU41" s="49">
        <v>26</v>
      </c>
      <c r="AV41" s="49">
        <v>30</v>
      </c>
      <c r="AW41" s="16"/>
      <c r="AX41" s="17">
        <f ca="1">RANK(BA41,Tabel64873576167717377792[Punkte],0)</f>
        <v>8</v>
      </c>
      <c r="AY41" s="17" t="s">
        <v>11</v>
      </c>
      <c r="AZ41" s="17">
        <f>COUNTIF(Women[Club],Tabel64873576167717377792[[#This Row],[Club]])</f>
        <v>14</v>
      </c>
      <c r="BA41" s="17">
        <f ca="1">SUMIF(Women[Club],Tabel64873576167717377792[[#This Row],[Club]],$F$7)</f>
        <v>434.89999999999992</v>
      </c>
    </row>
    <row r="42" spans="1:53" s="4" customFormat="1" x14ac:dyDescent="0.2">
      <c r="A42" s="112">
        <v>52</v>
      </c>
      <c r="B42" s="17">
        <f>IF(Women[[#This Row],[PR Rang beim letzten Turnier]]&gt;Women[[#This Row],[PR Rang]],1,IF(Women[[#This Row],[PR Rang]]=Women[[#This Row],[PR Rang beim letzten Turnier]],0,-1))</f>
        <v>1</v>
      </c>
      <c r="C42" s="112">
        <f>RANK(Women[[#This Row],[PR Punkte]],Women[PR Punkte],0)</f>
        <v>36</v>
      </c>
      <c r="D42" s="43" t="s">
        <v>220</v>
      </c>
      <c r="E42" s="11" t="s">
        <v>17</v>
      </c>
      <c r="F42" s="109">
        <f>SUM(Women[[#This Row],[PR 1]:[PR 3]])</f>
        <v>104.8</v>
      </c>
      <c r="G42" s="109">
        <f>LARGE(Women[[#This Row],[TS SH O 22.02.22]:[PR3]],1)</f>
        <v>52.8</v>
      </c>
      <c r="H42" s="109">
        <f>LARGE(Women[[#This Row],[TS SH O 22.02.22]:[PR3]],2)</f>
        <v>52</v>
      </c>
      <c r="I42" s="109">
        <f>LARGE(Women[[#This Row],[TS SH O 22.02.22]:[PR3]],3)</f>
        <v>0</v>
      </c>
      <c r="J42" s="11">
        <f>RANK(K42,$K$7:$K$108,0)</f>
        <v>36</v>
      </c>
      <c r="K42" s="109">
        <f>SUM(L42:AA42)</f>
        <v>104.8</v>
      </c>
      <c r="L42" s="128" t="str">
        <f>IFERROR(VLOOKUP(Women[[#This Row],[TS SH O 22.02.22 Rang]],$AU$15:$AV$72,2,0)*L$5," ")</f>
        <v xml:space="preserve"> </v>
      </c>
      <c r="M42" s="109" t="str">
        <f>IFERROR(VLOOKUP(Women[[#This Row],[TS SH W 22.02.22 Rang]],$AR$15:$AS$72,2,0)*M$5," ")</f>
        <v xml:space="preserve"> </v>
      </c>
      <c r="N42" s="109" t="str">
        <f>IFERROR(VLOOKUP(Women[[#This Row],[TS LU W 12.03.22 Rang]],$AR$15:$AS$72,2,0)*N$5," ")</f>
        <v xml:space="preserve"> </v>
      </c>
      <c r="O42" s="128" t="str">
        <f>IFERROR(VLOOKUP(Women[[#This Row],[TS SH O 23.04.22 Rang]],$AU$15:$AV$72,2,0)*O$5," ")</f>
        <v xml:space="preserve"> </v>
      </c>
      <c r="P42" s="177" t="str">
        <f>IFERROR(VLOOKUP(Women[[#This Row],[TS LA W 08.05.22 Rang]],$AR$15:$AS$72,2,0)*P$5," ")</f>
        <v xml:space="preserve"> </v>
      </c>
      <c r="Q42" s="128" t="str">
        <f>IFERROR(VLOOKUP(Women[[#This Row],[TS SG O 25.05.22 Rang]],$AU$15:$AV$72,2,0)*Q$5," ")</f>
        <v xml:space="preserve"> </v>
      </c>
      <c r="R42" s="177" t="str">
        <f>IFERROR(VLOOKUP(Women[[#This Row],[TS SG W 25.05.22 Rang]],$AR$15:$AS$72,2,0)*R$5," ")</f>
        <v xml:space="preserve"> </v>
      </c>
      <c r="S42" s="128" t="str">
        <f>IFERROR(VLOOKUP(Women[[#This Row],[TS SH O 25.06.22 Rang]],$AU$15:$AV$72,2,0)*$S$5," ")</f>
        <v xml:space="preserve"> </v>
      </c>
      <c r="T42" s="177" t="str">
        <f>IFERROR(VLOOKUP(Women[[#This Row],[TS SH W 25.06.22 Rang]],$AR$15:$AS$72,2,0)*T$5," ")</f>
        <v xml:space="preserve"> </v>
      </c>
      <c r="U42" s="177">
        <f>IFERROR(VLOOKUP(Women[[#This Row],[TS ZH W 02.07.22 Rang]],$AR$15:$AS$72,2,0)*U$5," ")</f>
        <v>52</v>
      </c>
      <c r="V42" s="128" t="str">
        <f>IFERROR(VLOOKUP(Women[[#This Row],[SM BE O/A 09.07.22 Rang]],$AU$15:$AV$72,2,0)*V40," ")</f>
        <v xml:space="preserve"> </v>
      </c>
      <c r="W42" s="128" t="str">
        <f>IFERROR(VLOOKUP(Women[[#This Row],[SM BE O/B 09.07.22 Rang]],$AU$15:$AV$72,2,0)*$W$5," ")</f>
        <v xml:space="preserve"> </v>
      </c>
      <c r="X42" s="177">
        <f>IFERROR(VLOOKUP(Women[[#This Row],[SM BE W 09.07.22 Rang]],$AR$15:$AS$72,2,0)*X$5," ")</f>
        <v>52.8</v>
      </c>
      <c r="Y42" s="11">
        <v>0</v>
      </c>
      <c r="Z42" s="11">
        <v>0</v>
      </c>
      <c r="AA42" s="11">
        <v>0</v>
      </c>
      <c r="AB42" s="131"/>
      <c r="AC42" s="129"/>
      <c r="AD42" s="129"/>
      <c r="AE42" s="131"/>
      <c r="AF42" s="129"/>
      <c r="AG42" s="131"/>
      <c r="AH42" s="129"/>
      <c r="AI42" s="131"/>
      <c r="AJ42" s="129"/>
      <c r="AK42" s="129">
        <v>5</v>
      </c>
      <c r="AL42" s="131"/>
      <c r="AM42" s="131"/>
      <c r="AN42" s="129">
        <v>7</v>
      </c>
      <c r="AO42" s="16"/>
      <c r="AP42" s="16"/>
      <c r="AQ42" s="16"/>
      <c r="AR42" s="47">
        <v>27</v>
      </c>
      <c r="AS42" s="49">
        <v>15</v>
      </c>
      <c r="AT42" s="16"/>
      <c r="AU42" s="49">
        <v>27</v>
      </c>
      <c r="AV42" s="49">
        <v>30</v>
      </c>
      <c r="AW42" s="16"/>
      <c r="AX42" s="17">
        <f ca="1">RANK(BA42,Tabel64873576167717377792[Punkte],0)</f>
        <v>9</v>
      </c>
      <c r="AY42" s="17" t="s">
        <v>7</v>
      </c>
      <c r="AZ42" s="17">
        <f>COUNTIF(Women[Club],Tabel64873576167717377792[[#This Row],[Club]])</f>
        <v>4</v>
      </c>
      <c r="BA42" s="17">
        <f ca="1">SUMIF(Women[Club],Tabel64873576167717377792[[#This Row],[Club]],$F$7)</f>
        <v>368.00000000000006</v>
      </c>
    </row>
    <row r="43" spans="1:53" s="4" customFormat="1" x14ac:dyDescent="0.2">
      <c r="A43" s="112">
        <v>80</v>
      </c>
      <c r="B43" s="17">
        <f>IF(Women[[#This Row],[PR Rang beim letzten Turnier]]&gt;Women[[#This Row],[PR Rang]],1,IF(Women[[#This Row],[PR Rang]]=Women[[#This Row],[PR Rang beim letzten Turnier]],0,-1))</f>
        <v>1</v>
      </c>
      <c r="C43" s="112">
        <f>RANK(Women[[#This Row],[PR Punkte]],Women[PR Punkte],0)</f>
        <v>36</v>
      </c>
      <c r="D43" s="13" t="s">
        <v>126</v>
      </c>
      <c r="E43" s="9" t="s">
        <v>17</v>
      </c>
      <c r="F43" s="109">
        <f>SUM(Women[[#This Row],[PR 1]:[PR 3]])</f>
        <v>104.8</v>
      </c>
      <c r="G43" s="109">
        <f>LARGE(Women[[#This Row],[TS SH O 22.02.22]:[PR3]],1)</f>
        <v>52.8</v>
      </c>
      <c r="H43" s="109">
        <f>LARGE(Women[[#This Row],[TS SH O 22.02.22]:[PR3]],2)</f>
        <v>52</v>
      </c>
      <c r="I43" s="109">
        <f>LARGE(Women[[#This Row],[TS SH O 22.02.22]:[PR3]],3)</f>
        <v>0</v>
      </c>
      <c r="J43" s="9">
        <f>RANK(K43,$K$7:$K$108,0)</f>
        <v>36</v>
      </c>
      <c r="K43" s="109">
        <f>SUM(L43:AA43)</f>
        <v>104.8</v>
      </c>
      <c r="L43" s="128" t="str">
        <f>IFERROR(VLOOKUP(Women[[#This Row],[TS SH O 22.02.22 Rang]],$AU$15:$AV$72,2,0)*L$5," ")</f>
        <v xml:space="preserve"> </v>
      </c>
      <c r="M43" s="109" t="str">
        <f>IFERROR(VLOOKUP(Women[[#This Row],[TS SH W 22.02.22 Rang]],$AR$15:$AS$72,2,0)*M$5," ")</f>
        <v xml:space="preserve"> </v>
      </c>
      <c r="N43" s="109" t="str">
        <f>IFERROR(VLOOKUP(Women[[#This Row],[TS LU W 12.03.22 Rang]],$AR$15:$AS$72,2,0)*N$5," ")</f>
        <v xml:space="preserve"> </v>
      </c>
      <c r="O43" s="128" t="str">
        <f>IFERROR(VLOOKUP(Women[[#This Row],[TS SH O 23.04.22 Rang]],$AU$15:$AV$72,2,0)*O$5," ")</f>
        <v xml:space="preserve"> </v>
      </c>
      <c r="P43" s="177" t="str">
        <f>IFERROR(VLOOKUP(Women[[#This Row],[TS LA W 08.05.22 Rang]],$AR$15:$AS$72,2,0)*P$5," ")</f>
        <v xml:space="preserve"> </v>
      </c>
      <c r="Q43" s="128" t="str">
        <f>IFERROR(VLOOKUP(Women[[#This Row],[TS SG O 25.05.22 Rang]],$AU$15:$AV$72,2,0)*Q$5," ")</f>
        <v xml:space="preserve"> </v>
      </c>
      <c r="R43" s="177" t="str">
        <f>IFERROR(VLOOKUP(Women[[#This Row],[TS SG W 25.05.22 Rang]],$AR$15:$AS$72,2,0)*R$5," ")</f>
        <v xml:space="preserve"> </v>
      </c>
      <c r="S43" s="128" t="str">
        <f>IFERROR(VLOOKUP(Women[[#This Row],[TS SH O 25.06.22 Rang]],$AU$15:$AV$72,2,0)*$S$5," ")</f>
        <v xml:space="preserve"> </v>
      </c>
      <c r="T43" s="177" t="str">
        <f>IFERROR(VLOOKUP(Women[[#This Row],[TS SH W 25.06.22 Rang]],$AR$15:$AS$72,2,0)*T$5," ")</f>
        <v xml:space="preserve"> </v>
      </c>
      <c r="U43" s="177">
        <f>IFERROR(VLOOKUP(Women[[#This Row],[TS ZH W 02.07.22 Rang]],$AR$15:$AS$72,2,0)*U$5," ")</f>
        <v>52</v>
      </c>
      <c r="V43" s="128" t="str">
        <f>IFERROR(VLOOKUP(Women[[#This Row],[SM BE O/A 09.07.22 Rang]],$AU$15:$AV$72,2,0)*V41," ")</f>
        <v xml:space="preserve"> </v>
      </c>
      <c r="W43" s="128" t="str">
        <f>IFERROR(VLOOKUP(Women[[#This Row],[SM BE O/B 09.07.22 Rang]],$AU$15:$AV$72,2,0)*$W$5," ")</f>
        <v xml:space="preserve"> </v>
      </c>
      <c r="X43" s="177">
        <f>IFERROR(VLOOKUP(Women[[#This Row],[SM BE W 09.07.22 Rang]],$AR$15:$AS$72,2,0)*X$5," ")</f>
        <v>52.8</v>
      </c>
      <c r="Y43" s="11">
        <v>0</v>
      </c>
      <c r="Z43" s="11">
        <v>0</v>
      </c>
      <c r="AA43" s="11">
        <v>0</v>
      </c>
      <c r="AB43" s="131"/>
      <c r="AC43" s="129"/>
      <c r="AD43" s="129"/>
      <c r="AE43" s="131"/>
      <c r="AF43" s="129"/>
      <c r="AG43" s="131"/>
      <c r="AH43" s="129"/>
      <c r="AI43" s="131"/>
      <c r="AJ43" s="129"/>
      <c r="AK43" s="129">
        <v>5</v>
      </c>
      <c r="AL43" s="131"/>
      <c r="AM43" s="131"/>
      <c r="AN43" s="129">
        <v>7</v>
      </c>
      <c r="AO43" s="16"/>
      <c r="AP43" s="16"/>
      <c r="AQ43" s="16"/>
      <c r="AR43" s="47">
        <v>28</v>
      </c>
      <c r="AS43" s="49">
        <v>15</v>
      </c>
      <c r="AT43" s="16"/>
      <c r="AU43" s="49">
        <v>28</v>
      </c>
      <c r="AV43" s="49">
        <v>30</v>
      </c>
      <c r="AW43" s="16"/>
      <c r="AX43" s="17">
        <f ca="1">RANK(BA43,Tabel64873576167717377792[Punkte],0)</f>
        <v>12</v>
      </c>
      <c r="AY43" s="17" t="s">
        <v>9</v>
      </c>
      <c r="AZ43" s="17">
        <f>COUNTIF(Women[Club],Tabel64873576167717377792[[#This Row],[Club]])</f>
        <v>4</v>
      </c>
      <c r="BA43" s="17">
        <f ca="1">SUMIF(Women[Club],Tabel64873576167717377792[[#This Row],[Club]],$F$7)</f>
        <v>0</v>
      </c>
    </row>
    <row r="44" spans="1:53" s="4" customFormat="1" x14ac:dyDescent="0.2">
      <c r="A44" s="238">
        <v>85</v>
      </c>
      <c r="B44" s="239">
        <f>IF(Women[[#This Row],[PR Rang beim letzten Turnier]]&gt;Women[[#This Row],[PR Rang]],1,IF(Women[[#This Row],[PR Rang]]=Women[[#This Row],[PR Rang beim letzten Turnier]],0,-1))</f>
        <v>1</v>
      </c>
      <c r="C44" s="238">
        <f>RANK(Women[[#This Row],[PR Punkte]],Women[PR Punkte],0)</f>
        <v>38</v>
      </c>
      <c r="D44" s="247" t="s">
        <v>571</v>
      </c>
      <c r="E44" s="11" t="s">
        <v>13</v>
      </c>
      <c r="F44" s="241">
        <f>SUM(Women[[#This Row],[PR 1]:[PR 3]])</f>
        <v>104.6</v>
      </c>
      <c r="G44" s="109">
        <f>LARGE(Women[[#This Row],[TS SH O 22.02.22]:[PR3]],1)</f>
        <v>39</v>
      </c>
      <c r="H44" s="109">
        <f>LARGE(Women[[#This Row],[TS SH O 22.02.22]:[PR3]],2)</f>
        <v>35.200000000000003</v>
      </c>
      <c r="I44" s="109">
        <f>LARGE(Women[[#This Row],[TS SH O 22.02.22]:[PR3]],3)</f>
        <v>30.4</v>
      </c>
      <c r="J44" s="86">
        <f>RANK(K44,$K$7:$K$108,0)</f>
        <v>38</v>
      </c>
      <c r="K44" s="269">
        <f>SUM(L44:AA44)</f>
        <v>104.60000000000001</v>
      </c>
      <c r="L44" s="242" t="str">
        <f>IFERROR(VLOOKUP(Women[[#This Row],[TS SH O 22.02.22 Rang]],$AU$15:$AV$72,2,0)*L$5," ")</f>
        <v xml:space="preserve"> </v>
      </c>
      <c r="M44" s="241" t="str">
        <f>IFERROR(VLOOKUP(Women[[#This Row],[TS SH W 22.02.22 Rang]],$AR$15:$AS$72,2,0)*M$5," ")</f>
        <v xml:space="preserve"> </v>
      </c>
      <c r="N44" s="241" t="str">
        <f>IFERROR(VLOOKUP(Women[[#This Row],[TS LU W 12.03.22 Rang]],$AR$15:$AS$72,2,0)*N$5," ")</f>
        <v xml:space="preserve"> </v>
      </c>
      <c r="O44" s="242" t="str">
        <f>IFERROR(VLOOKUP(Women[[#This Row],[TS SH O 23.04.22 Rang]],$AU$15:$AV$72,2,0)*O$5," ")</f>
        <v xml:space="preserve"> </v>
      </c>
      <c r="P44" s="243" t="str">
        <f>IFERROR(VLOOKUP(Women[[#This Row],[TS LA W 08.05.22 Rang]],$AR$15:$AS$72,2,0)*P$5," ")</f>
        <v xml:space="preserve"> </v>
      </c>
      <c r="Q44" s="128" t="str">
        <f>IFERROR(VLOOKUP(Women[[#This Row],[TS SG O 25.05.22 Rang]],$AU$15:$AV$72,2,0)*Q$5," ")</f>
        <v xml:space="preserve"> </v>
      </c>
      <c r="R44" s="177" t="str">
        <f>IFERROR(VLOOKUP(Women[[#This Row],[TS SG W 25.05.22 Rang]],$AR$15:$AS$72,2,0)*R$5," ")</f>
        <v xml:space="preserve"> </v>
      </c>
      <c r="S44" s="128" t="str">
        <f>IFERROR(VLOOKUP(Women[[#This Row],[TS SH O 25.06.22 Rang]],$AU$15:$AV$72,2,0)*$S$5," ")</f>
        <v xml:space="preserve"> </v>
      </c>
      <c r="T44" s="177">
        <f>IFERROR(VLOOKUP(Women[[#This Row],[TS SH W 25.06.22 Rang]],$AR$15:$AS$72,2,0)*T$5," ")</f>
        <v>30.4</v>
      </c>
      <c r="U44" s="177">
        <f>IFERROR(VLOOKUP(Women[[#This Row],[TS ZH W 02.07.22 Rang]],$AR$15:$AS$72,2,0)*U$5," ")</f>
        <v>39</v>
      </c>
      <c r="V44" s="128" t="str">
        <f>IFERROR(VLOOKUP(Women[[#This Row],[SM BE O/A 09.07.22 Rang]],$AU$15:$AV$72,2,0)*V42," ")</f>
        <v xml:space="preserve"> </v>
      </c>
      <c r="W44" s="128" t="str">
        <f>IFERROR(VLOOKUP(Women[[#This Row],[SM BE O/B 09.07.22 Rang]],$AU$15:$AV$72,2,0)*$W$5," ")</f>
        <v xml:space="preserve"> </v>
      </c>
      <c r="X44" s="177">
        <f>IFERROR(VLOOKUP(Women[[#This Row],[SM BE W 09.07.22 Rang]],$AR$15:$AS$72,2,0)*X$5," ")</f>
        <v>35.200000000000003</v>
      </c>
      <c r="Y44" s="240">
        <v>0</v>
      </c>
      <c r="Z44" s="240">
        <v>0</v>
      </c>
      <c r="AA44" s="240">
        <v>0</v>
      </c>
      <c r="AB44" s="245"/>
      <c r="AC44" s="246"/>
      <c r="AD44" s="246"/>
      <c r="AE44" s="245"/>
      <c r="AF44" s="246"/>
      <c r="AG44" s="131"/>
      <c r="AH44" s="129"/>
      <c r="AI44" s="131"/>
      <c r="AJ44" s="129">
        <v>9</v>
      </c>
      <c r="AK44" s="129">
        <v>7</v>
      </c>
      <c r="AL44" s="131"/>
      <c r="AM44" s="131"/>
      <c r="AN44" s="129">
        <v>14</v>
      </c>
      <c r="AO44" s="16"/>
      <c r="AP44" s="16"/>
      <c r="AQ44" s="16"/>
      <c r="AR44" s="47">
        <v>29</v>
      </c>
      <c r="AS44" s="49">
        <v>15</v>
      </c>
      <c r="AT44" s="16"/>
      <c r="AU44" s="49">
        <v>29</v>
      </c>
      <c r="AV44" s="49">
        <v>30</v>
      </c>
      <c r="AW44" s="16"/>
      <c r="AX44" s="17">
        <f ca="1">RANK(BA44,Tabel64873576167717377792[Punkte],0)</f>
        <v>6</v>
      </c>
      <c r="AY44" s="17" t="s">
        <v>16</v>
      </c>
      <c r="AZ44" s="17">
        <f>COUNTIF(Women[Club],Tabel64873576167717377792[[#This Row],[Club]])</f>
        <v>7</v>
      </c>
      <c r="BA44" s="17">
        <f ca="1">SUMIF(Women[Club],Tabel64873576167717377792[[#This Row],[Club]],$F$7)</f>
        <v>630.79999999999995</v>
      </c>
    </row>
    <row r="45" spans="1:53" s="4" customFormat="1" x14ac:dyDescent="0.2">
      <c r="A45" s="225">
        <v>62</v>
      </c>
      <c r="B45" s="198">
        <f>IF(Women[[#This Row],[PR Rang beim letzten Turnier]]&gt;Women[[#This Row],[PR Rang]],1,IF(Women[[#This Row],[PR Rang]]=Women[[#This Row],[PR Rang beim letzten Turnier]],0,-1))</f>
        <v>1</v>
      </c>
      <c r="C45" s="225">
        <f>RANK(Women[[#This Row],[PR Punkte]],Women[PR Punkte],0)</f>
        <v>39</v>
      </c>
      <c r="D45" s="160" t="s">
        <v>596</v>
      </c>
      <c r="E45" t="s">
        <v>10</v>
      </c>
      <c r="F45" s="109">
        <f>SUM(Women[[#This Row],[PR 1]:[PR 3]])</f>
        <v>99.2</v>
      </c>
      <c r="G45" s="109">
        <f>LARGE(Women[[#This Row],[TS SH O 22.02.22]:[PR3]],1)</f>
        <v>38</v>
      </c>
      <c r="H45" s="109">
        <f>LARGE(Women[[#This Row],[TS SH O 22.02.22]:[PR3]],2)</f>
        <v>35.200000000000003</v>
      </c>
      <c r="I45" s="109">
        <f>LARGE(Women[[#This Row],[TS SH O 22.02.22]:[PR3]],3)</f>
        <v>26</v>
      </c>
      <c r="J45" s="86">
        <f>RANK(K45,$K$7:$K$108,0)</f>
        <v>39</v>
      </c>
      <c r="K45" s="109">
        <f>SUM(L45:AA45)</f>
        <v>99.2</v>
      </c>
      <c r="L45" s="128" t="str">
        <f>IFERROR(VLOOKUP(Women[[#This Row],[TS SH O 22.02.22 Rang]],$AU$15:$AV$72,2,0)*L$5," ")</f>
        <v xml:space="preserve"> </v>
      </c>
      <c r="M45" s="177" t="str">
        <f>IFERROR(VLOOKUP(Women[[#This Row],[TS SH W 22.02.22 Rang]],$AR$15:$AS$72,2,0)*M$5," ")</f>
        <v xml:space="preserve"> </v>
      </c>
      <c r="N45" s="177" t="str">
        <f>IFERROR(VLOOKUP(Women[[#This Row],[TS LU W 12.03.22 Rang]],$AR$15:$AS$72,2,0)*N$5," ")</f>
        <v xml:space="preserve"> </v>
      </c>
      <c r="O45" s="128" t="str">
        <f>IFERROR(VLOOKUP(Women[[#This Row],[TS SH O 23.04.22 Rang]],$AU$15:$AV$72,2,0)*O$5," ")</f>
        <v xml:space="preserve"> </v>
      </c>
      <c r="P45" s="177" t="str">
        <f>IFERROR(VLOOKUP(Women[[#This Row],[TS LA W 08.05.22 Rang]],$AR$15:$AS$72,2,0)*P$5," ")</f>
        <v xml:space="preserve"> </v>
      </c>
      <c r="Q45" s="128" t="str">
        <f>IFERROR(VLOOKUP(Women[[#This Row],[TS SG O 25.05.22 Rang]],$AU$15:$AV$72,2,0)*Q$5," ")</f>
        <v xml:space="preserve"> </v>
      </c>
      <c r="R45" s="177" t="str">
        <f>IFERROR(VLOOKUP(Women[[#This Row],[TS SG W 25.05.22 Rang]],$AR$15:$AS$72,2,0)*R$5," ")</f>
        <v xml:space="preserve"> </v>
      </c>
      <c r="S45" s="128" t="str">
        <f>IFERROR(VLOOKUP(Women[[#This Row],[TS SH O 25.06.22 Rang]],$AU$15:$AV$72,2,0)*$S$5," ")</f>
        <v xml:space="preserve"> </v>
      </c>
      <c r="T45" s="177">
        <f>IFERROR(VLOOKUP(Women[[#This Row],[TS SH W 25.06.22 Rang]],$AR$15:$AS$72,2,0)*T$5," ")</f>
        <v>38</v>
      </c>
      <c r="U45" s="177">
        <f>IFERROR(VLOOKUP(Women[[#This Row],[TS ZH W 02.07.22 Rang]],$AR$15:$AS$72,2,0)*U$5," ")</f>
        <v>26</v>
      </c>
      <c r="V45" s="128" t="str">
        <f>IFERROR(VLOOKUP(Women[[#This Row],[SM BE O/A 09.07.22 Rang]],$AU$15:$AV$72,2,0)*V43," ")</f>
        <v xml:space="preserve"> </v>
      </c>
      <c r="W45" s="128" t="str">
        <f>IFERROR(VLOOKUP(Women[[#This Row],[SM BE O/B 09.07.22 Rang]],$AU$15:$AV$72,2,0)*$W$5," ")</f>
        <v xml:space="preserve"> </v>
      </c>
      <c r="X45" s="177">
        <f>IFERROR(VLOOKUP(Women[[#This Row],[SM BE W 09.07.22 Rang]],$AR$15:$AS$72,2,0)*X$5," ")</f>
        <v>35.200000000000003</v>
      </c>
      <c r="Y45" s="244">
        <v>0</v>
      </c>
      <c r="Z45" s="244">
        <v>0</v>
      </c>
      <c r="AA45" s="244">
        <v>0</v>
      </c>
      <c r="AB45" s="131"/>
      <c r="AC45" s="129"/>
      <c r="AD45" s="129"/>
      <c r="AE45" s="131"/>
      <c r="AF45" s="129"/>
      <c r="AG45" s="131"/>
      <c r="AH45" s="129"/>
      <c r="AI45" s="131"/>
      <c r="AJ45" s="191">
        <v>8</v>
      </c>
      <c r="AK45" s="191">
        <v>9</v>
      </c>
      <c r="AL45" s="282"/>
      <c r="AM45" s="282"/>
      <c r="AN45" s="191">
        <v>16</v>
      </c>
      <c r="AO45" s="16"/>
      <c r="AP45" s="16"/>
      <c r="AQ45" s="16"/>
      <c r="AR45" s="47">
        <v>30</v>
      </c>
      <c r="AS45" s="49">
        <v>15</v>
      </c>
      <c r="AT45" s="16"/>
      <c r="AU45" s="49">
        <v>30</v>
      </c>
      <c r="AV45" s="49">
        <v>30</v>
      </c>
      <c r="AW45" s="16"/>
      <c r="AX45" s="17">
        <f ca="1">RANK(BA45,Tabel64873576167717377792[Punkte],0)</f>
        <v>11</v>
      </c>
      <c r="AY45" s="17" t="s">
        <v>17</v>
      </c>
      <c r="AZ45" s="17">
        <f>COUNTIF(Women[Club],Tabel64873576167717377792[[#This Row],[Club]])</f>
        <v>4</v>
      </c>
      <c r="BA45" s="17">
        <f ca="1">SUMIF(Women[Club],Tabel64873576167717377792[[#This Row],[Club]],$F$7)</f>
        <v>209.6</v>
      </c>
    </row>
    <row r="46" spans="1:53" s="4" customFormat="1" x14ac:dyDescent="0.2">
      <c r="A46" s="112">
        <v>47</v>
      </c>
      <c r="B46" s="17">
        <f>IF(Women[[#This Row],[PR Rang beim letzten Turnier]]&gt;Women[[#This Row],[PR Rang]],1,IF(Women[[#This Row],[PR Rang]]=Women[[#This Row],[PR Rang beim letzten Turnier]],0,-1))</f>
        <v>1</v>
      </c>
      <c r="C46" s="112">
        <f>RANK(Women[[#This Row],[PR Punkte]],Women[PR Punkte],0)</f>
        <v>40</v>
      </c>
      <c r="D46" s="8" t="s">
        <v>167</v>
      </c>
      <c r="E46" s="9" t="s">
        <v>7</v>
      </c>
      <c r="F46" s="109">
        <f>SUM(Women[[#This Row],[PR 1]:[PR 3]])</f>
        <v>91.6</v>
      </c>
      <c r="G46" s="109">
        <f>LARGE(Women[[#This Row],[TS SH O 22.02.22]:[PR3]],1)</f>
        <v>34.4</v>
      </c>
      <c r="H46" s="109">
        <f>LARGE(Women[[#This Row],[TS SH O 22.02.22]:[PR3]],2)</f>
        <v>30.8</v>
      </c>
      <c r="I46" s="109">
        <f>LARGE(Women[[#This Row],[TS SH O 22.02.22]:[PR3]],3)</f>
        <v>26.4</v>
      </c>
      <c r="J46" s="9">
        <f>RANK(K46,$K$7:$K$108,0)</f>
        <v>40</v>
      </c>
      <c r="K46" s="109">
        <f>SUM(L46:AA46)</f>
        <v>91.6</v>
      </c>
      <c r="L46" s="128" t="str">
        <f>IFERROR(VLOOKUP(Women[[#This Row],[TS SH O 22.02.22 Rang]],$AU$15:$AV$72,2,0)*L$5," ")</f>
        <v xml:space="preserve"> </v>
      </c>
      <c r="M46" s="109" t="str">
        <f>IFERROR(VLOOKUP(Women[[#This Row],[TS SH W 22.02.22 Rang]],$AR$15:$AS$72,2,0)*M$5," ")</f>
        <v xml:space="preserve"> </v>
      </c>
      <c r="N46" s="109">
        <f>IFERROR(VLOOKUP(Women[[#This Row],[TS LU W 12.03.22 Rang]],$AR$15:$AS$72,2,0)*N$5," ")</f>
        <v>34.4</v>
      </c>
      <c r="O46" s="128" t="str">
        <f>IFERROR(VLOOKUP(Women[[#This Row],[TS SH O 23.04.22 Rang]],$AU$15:$AV$72,2,0)*O$5," ")</f>
        <v xml:space="preserve"> </v>
      </c>
      <c r="P46" s="177" t="str">
        <f>IFERROR(VLOOKUP(Women[[#This Row],[TS LA W 08.05.22 Rang]],$AR$15:$AS$72,2,0)*P$5," ")</f>
        <v xml:space="preserve"> </v>
      </c>
      <c r="Q46" s="128" t="str">
        <f>IFERROR(VLOOKUP(Women[[#This Row],[TS SG O 25.05.22 Rang]],$AU$15:$AV$72,2,0)*Q$5," ")</f>
        <v xml:space="preserve"> </v>
      </c>
      <c r="R46" s="177">
        <f>IFERROR(VLOOKUP(Women[[#This Row],[TS SG W 25.05.22 Rang]],$AR$15:$AS$72,2,0)*R$5," ")</f>
        <v>30.8</v>
      </c>
      <c r="S46" s="128" t="str">
        <f>IFERROR(VLOOKUP(Women[[#This Row],[TS SH O 25.06.22 Rang]],$AU$15:$AV$72,2,0)*$S$5," ")</f>
        <v xml:space="preserve"> </v>
      </c>
      <c r="T46" s="177" t="str">
        <f>IFERROR(VLOOKUP(Women[[#This Row],[TS SH W 25.06.22 Rang]],$AR$15:$AS$72,2,0)*T$5," ")</f>
        <v xml:space="preserve"> </v>
      </c>
      <c r="U46" s="177" t="str">
        <f>IFERROR(VLOOKUP(Women[[#This Row],[TS ZH W 02.07.22 Rang]],$AR$15:$AS$72,2,0)*U$5," ")</f>
        <v xml:space="preserve"> </v>
      </c>
      <c r="V46" s="128" t="str">
        <f>IFERROR(VLOOKUP(Women[[#This Row],[SM BE O/A 09.07.22 Rang]],$AU$15:$AV$72,2,0)*V44," ")</f>
        <v xml:space="preserve"> </v>
      </c>
      <c r="W46" s="128" t="str">
        <f>IFERROR(VLOOKUP(Women[[#This Row],[SM BE O/B 09.07.22 Rang]],$AU$15:$AV$72,2,0)*$W$5," ")</f>
        <v xml:space="preserve"> </v>
      </c>
      <c r="X46" s="177">
        <f>IFERROR(VLOOKUP(Women[[#This Row],[SM BE W 09.07.22 Rang]],$AR$15:$AS$72,2,0)*X$5," ")</f>
        <v>26.4</v>
      </c>
      <c r="Y46" s="11">
        <v>0</v>
      </c>
      <c r="Z46" s="11">
        <v>0</v>
      </c>
      <c r="AA46" s="11">
        <v>0</v>
      </c>
      <c r="AB46" s="131"/>
      <c r="AC46" s="129"/>
      <c r="AD46" s="129">
        <v>9</v>
      </c>
      <c r="AE46" s="131"/>
      <c r="AF46" s="129"/>
      <c r="AG46" s="131"/>
      <c r="AH46" s="129">
        <v>10</v>
      </c>
      <c r="AI46" s="131"/>
      <c r="AJ46" s="129"/>
      <c r="AK46" s="129"/>
      <c r="AL46" s="131"/>
      <c r="AM46" s="131"/>
      <c r="AN46" s="129">
        <v>21</v>
      </c>
      <c r="AO46" s="16"/>
      <c r="AP46" s="16"/>
      <c r="AQ46" s="16"/>
      <c r="AR46" s="47">
        <v>31</v>
      </c>
      <c r="AS46" s="49">
        <v>15</v>
      </c>
      <c r="AT46" s="16"/>
      <c r="AU46" s="49">
        <v>31</v>
      </c>
      <c r="AV46" s="49">
        <v>30</v>
      </c>
      <c r="AW46" s="16"/>
      <c r="AX46" s="198">
        <v>13</v>
      </c>
      <c r="AY46" s="17" t="s">
        <v>488</v>
      </c>
      <c r="AZ46" s="198">
        <f>COUNTIF(Women[Club],Tabel64873576167717377792[[#This Row],[Club]])</f>
        <v>0</v>
      </c>
      <c r="BA46" s="198">
        <f ca="1">SUMIF(Women[Club],Tabel64873576167717377792[[#This Row],[Club]],$F$7)</f>
        <v>0</v>
      </c>
    </row>
    <row r="47" spans="1:53" s="4" customFormat="1" x14ac:dyDescent="0.2">
      <c r="A47" s="112">
        <v>47</v>
      </c>
      <c r="B47" s="17">
        <f>IF(Women[[#This Row],[PR Rang beim letzten Turnier]]&gt;Women[[#This Row],[PR Rang]],1,IF(Women[[#This Row],[PR Rang]]=Women[[#This Row],[PR Rang beim letzten Turnier]],0,-1))</f>
        <v>1</v>
      </c>
      <c r="C47" s="112">
        <f>RANK(Women[[#This Row],[PR Punkte]],Women[PR Punkte],0)</f>
        <v>40</v>
      </c>
      <c r="D47" s="13" t="s">
        <v>472</v>
      </c>
      <c r="E47" s="11" t="s">
        <v>11</v>
      </c>
      <c r="F47" s="109">
        <f>SUM(Women[[#This Row],[PR 1]:[PR 3]])</f>
        <v>91.6</v>
      </c>
      <c r="G47" s="109">
        <f>LARGE(Women[[#This Row],[TS SH O 22.02.22]:[PR3]],1)</f>
        <v>34.4</v>
      </c>
      <c r="H47" s="109">
        <f>LARGE(Women[[#This Row],[TS SH O 22.02.22]:[PR3]],2)</f>
        <v>30.8</v>
      </c>
      <c r="I47" s="109">
        <f>LARGE(Women[[#This Row],[TS SH O 22.02.22]:[PR3]],3)</f>
        <v>26.4</v>
      </c>
      <c r="J47" s="11">
        <f>RANK(K47,$K$7:$K$108,0)</f>
        <v>40</v>
      </c>
      <c r="K47" s="109">
        <f>SUM(L47:AA47)</f>
        <v>91.6</v>
      </c>
      <c r="L47" s="128" t="str">
        <f>IFERROR(VLOOKUP(Women[[#This Row],[TS SH O 22.02.22 Rang]],$AU$15:$AV$72,2,0)*L$5," ")</f>
        <v xml:space="preserve"> </v>
      </c>
      <c r="M47" s="109" t="str">
        <f>IFERROR(VLOOKUP(Women[[#This Row],[TS SH W 22.02.22 Rang]],$AR$15:$AS$72,2,0)*M$5," ")</f>
        <v xml:space="preserve"> </v>
      </c>
      <c r="N47" s="109">
        <f>IFERROR(VLOOKUP(Women[[#This Row],[TS LU W 12.03.22 Rang]],$AR$15:$AS$72,2,0)*N$5," ")</f>
        <v>34.4</v>
      </c>
      <c r="O47" s="128" t="str">
        <f>IFERROR(VLOOKUP(Women[[#This Row],[TS SH O 23.04.22 Rang]],$AU$15:$AV$72,2,0)*O$5," ")</f>
        <v xml:space="preserve"> </v>
      </c>
      <c r="P47" s="177" t="str">
        <f>IFERROR(VLOOKUP(Women[[#This Row],[TS LA W 08.05.22 Rang]],$AR$15:$AS$72,2,0)*P$5," ")</f>
        <v xml:space="preserve"> </v>
      </c>
      <c r="Q47" s="128" t="str">
        <f>IFERROR(VLOOKUP(Women[[#This Row],[TS SG O 25.05.22 Rang]],$AU$15:$AV$72,2,0)*Q$5," ")</f>
        <v xml:space="preserve"> </v>
      </c>
      <c r="R47" s="177">
        <f>IFERROR(VLOOKUP(Women[[#This Row],[TS SG W 25.05.22 Rang]],$AR$15:$AS$72,2,0)*R$5," ")</f>
        <v>30.8</v>
      </c>
      <c r="S47" s="128" t="str">
        <f>IFERROR(VLOOKUP(Women[[#This Row],[TS SH O 25.06.22 Rang]],$AU$15:$AV$72,2,0)*$S$5," ")</f>
        <v xml:space="preserve"> </v>
      </c>
      <c r="T47" s="177" t="str">
        <f>IFERROR(VLOOKUP(Women[[#This Row],[TS SH W 25.06.22 Rang]],$AR$15:$AS$72,2,0)*T$5," ")</f>
        <v xml:space="preserve"> </v>
      </c>
      <c r="U47" s="177" t="str">
        <f>IFERROR(VLOOKUP(Women[[#This Row],[TS ZH W 02.07.22 Rang]],$AR$15:$AS$72,2,0)*U$5," ")</f>
        <v xml:space="preserve"> </v>
      </c>
      <c r="V47" s="128" t="str">
        <f>IFERROR(VLOOKUP(Women[[#This Row],[SM BE O/A 09.07.22 Rang]],$AU$15:$AV$72,2,0)*V45," ")</f>
        <v xml:space="preserve"> </v>
      </c>
      <c r="W47" s="128" t="str">
        <f>IFERROR(VLOOKUP(Women[[#This Row],[SM BE O/B 09.07.22 Rang]],$AU$15:$AV$72,2,0)*$W$5," ")</f>
        <v xml:space="preserve"> </v>
      </c>
      <c r="X47" s="177">
        <f>IFERROR(VLOOKUP(Women[[#This Row],[SM BE W 09.07.22 Rang]],$AR$15:$AS$72,2,0)*X$5," ")</f>
        <v>26.4</v>
      </c>
      <c r="Y47" s="11">
        <v>0</v>
      </c>
      <c r="Z47" s="11">
        <v>0</v>
      </c>
      <c r="AA47" s="11">
        <v>0</v>
      </c>
      <c r="AB47" s="131"/>
      <c r="AC47" s="129"/>
      <c r="AD47" s="129">
        <v>13</v>
      </c>
      <c r="AE47" s="131"/>
      <c r="AF47" s="129"/>
      <c r="AG47" s="131"/>
      <c r="AH47" s="129">
        <v>9</v>
      </c>
      <c r="AI47" s="131"/>
      <c r="AJ47" s="129"/>
      <c r="AK47" s="129"/>
      <c r="AL47" s="131"/>
      <c r="AM47" s="131"/>
      <c r="AN47" s="129">
        <v>21</v>
      </c>
      <c r="AO47" s="16"/>
      <c r="AP47" s="16"/>
      <c r="AQ47" s="16"/>
      <c r="AR47" s="47">
        <v>32</v>
      </c>
      <c r="AS47" s="49">
        <v>15</v>
      </c>
      <c r="AT47" s="16"/>
      <c r="AU47" s="49">
        <v>32</v>
      </c>
      <c r="AV47" s="49">
        <v>30</v>
      </c>
      <c r="AW47" s="16"/>
      <c r="AX47" s="16"/>
      <c r="AY47" s="16"/>
      <c r="AZ47" s="16"/>
      <c r="BA47" s="16"/>
    </row>
    <row r="48" spans="1:53" s="4" customFormat="1" x14ac:dyDescent="0.2">
      <c r="A48" s="112">
        <v>40</v>
      </c>
      <c r="B48" s="17">
        <f>IF(Women[[#This Row],[PR Rang beim letzten Turnier]]&gt;Women[[#This Row],[PR Rang]],1,IF(Women[[#This Row],[PR Rang]]=Women[[#This Row],[PR Rang beim letzten Turnier]],0,-1))</f>
        <v>-1</v>
      </c>
      <c r="C48" s="112">
        <f>RANK(Women[[#This Row],[PR Punkte]],Women[PR Punkte],0)</f>
        <v>42</v>
      </c>
      <c r="D48" s="9" t="s">
        <v>468</v>
      </c>
      <c r="E48" s="9" t="s">
        <v>8</v>
      </c>
      <c r="F48" s="109">
        <f>SUM(Women[[#This Row],[PR 1]:[PR 3]])</f>
        <v>89.2</v>
      </c>
      <c r="G48" s="109">
        <f>LARGE(Women[[#This Row],[TS SH O 22.02.22]:[PR3]],1)</f>
        <v>46.2</v>
      </c>
      <c r="H48" s="109">
        <f>LARGE(Women[[#This Row],[TS SH O 22.02.22]:[PR3]],2)</f>
        <v>43</v>
      </c>
      <c r="I48" s="109">
        <f>LARGE(Women[[#This Row],[TS SH O 22.02.22]:[PR3]],3)</f>
        <v>0</v>
      </c>
      <c r="J48" s="9">
        <f>RANK(K48,$K$7:$K$108,0)</f>
        <v>42</v>
      </c>
      <c r="K48" s="109">
        <f>SUM(L48:AA48)</f>
        <v>89.2</v>
      </c>
      <c r="L48" s="128" t="str">
        <f>IFERROR(VLOOKUP(Women[[#This Row],[TS SH O 22.02.22 Rang]],$AU$15:$AV$72,2,0)*L$5," ")</f>
        <v xml:space="preserve"> </v>
      </c>
      <c r="M48" s="109" t="str">
        <f>IFERROR(VLOOKUP(Women[[#This Row],[TS SH W 22.02.22 Rang]],$AR$15:$AS$72,2,0)*M$5," ")</f>
        <v xml:space="preserve"> </v>
      </c>
      <c r="N48" s="109">
        <f>IFERROR(VLOOKUP(Women[[#This Row],[TS LU W 12.03.22 Rang]],$AR$15:$AS$72,2,0)*N$5," ")</f>
        <v>43</v>
      </c>
      <c r="O48" s="128">
        <f>IFERROR(VLOOKUP(Women[[#This Row],[TS SH O 23.04.22 Rang]],$AU$15:$AV$72,2,0)*O$5," ")</f>
        <v>46.2</v>
      </c>
      <c r="P48" s="177" t="str">
        <f>IFERROR(VLOOKUP(Women[[#This Row],[TS LA W 08.05.22 Rang]],$AR$15:$AS$72,2,0)*P$5," ")</f>
        <v xml:space="preserve"> </v>
      </c>
      <c r="Q48" s="128" t="str">
        <f>IFERROR(VLOOKUP(Women[[#This Row],[TS SG O 25.05.22 Rang]],$AU$15:$AV$72,2,0)*Q$5," ")</f>
        <v xml:space="preserve"> </v>
      </c>
      <c r="R48" s="177" t="str">
        <f>IFERROR(VLOOKUP(Women[[#This Row],[TS SG W 25.05.22 Rang]],$AR$15:$AS$72,2,0)*R$5," ")</f>
        <v xml:space="preserve"> </v>
      </c>
      <c r="S48" s="128" t="str">
        <f>IFERROR(VLOOKUP(Women[[#This Row],[TS SH O 25.06.22 Rang]],$AU$15:$AV$72,2,0)*$S$5," ")</f>
        <v xml:space="preserve"> </v>
      </c>
      <c r="T48" s="177" t="str">
        <f>IFERROR(VLOOKUP(Women[[#This Row],[TS SH W 25.06.22 Rang]],$AR$15:$AS$72,2,0)*T$5," ")</f>
        <v xml:space="preserve"> </v>
      </c>
      <c r="U48" s="177" t="str">
        <f>IFERROR(VLOOKUP(Women[[#This Row],[TS ZH W 02.07.22 Rang]],$AR$15:$AS$72,2,0)*U$5," ")</f>
        <v xml:space="preserve"> </v>
      </c>
      <c r="V48" s="128" t="str">
        <f>IFERROR(VLOOKUP(Women[[#This Row],[SM BE O/A 09.07.22 Rang]],$AU$15:$AV$72,2,0)*V46," ")</f>
        <v xml:space="preserve"> </v>
      </c>
      <c r="W48" s="128" t="str">
        <f>IFERROR(VLOOKUP(Women[[#This Row],[SM BE O/B 09.07.22 Rang]],$AU$15:$AV$72,2,0)*$W$5," ")</f>
        <v xml:space="preserve"> </v>
      </c>
      <c r="X48" s="177" t="str">
        <f>IFERROR(VLOOKUP(Women[[#This Row],[SM BE W 09.07.22 Rang]],$AR$15:$AS$72,2,0)*X$5," ")</f>
        <v xml:space="preserve"> </v>
      </c>
      <c r="Y48" s="11">
        <v>0</v>
      </c>
      <c r="Z48" s="11">
        <v>0</v>
      </c>
      <c r="AA48" s="11">
        <v>0</v>
      </c>
      <c r="AB48" s="131"/>
      <c r="AC48" s="129"/>
      <c r="AD48" s="129">
        <v>8</v>
      </c>
      <c r="AE48" s="131">
        <v>26</v>
      </c>
      <c r="AF48" s="129"/>
      <c r="AG48" s="131"/>
      <c r="AH48" s="129"/>
      <c r="AI48" s="131"/>
      <c r="AJ48" s="129"/>
      <c r="AK48" s="129"/>
      <c r="AL48" s="131"/>
      <c r="AM48" s="131"/>
      <c r="AN48" s="129"/>
      <c r="AO48" s="16"/>
      <c r="AP48" s="16"/>
      <c r="AQ48" s="16"/>
      <c r="AR48" s="47">
        <v>33</v>
      </c>
      <c r="AS48" s="49">
        <v>10</v>
      </c>
      <c r="AT48" s="16"/>
      <c r="AU48" s="49">
        <v>33</v>
      </c>
      <c r="AV48" s="49">
        <v>20</v>
      </c>
      <c r="AW48" s="16"/>
      <c r="AX48" s="16"/>
      <c r="AY48" s="16"/>
      <c r="AZ48" s="16"/>
      <c r="BA48" s="16"/>
    </row>
    <row r="49" spans="1:53" s="4" customFormat="1" x14ac:dyDescent="0.2">
      <c r="A49" s="112">
        <v>64</v>
      </c>
      <c r="B49" s="17">
        <f>IF(Women[[#This Row],[PR Rang beim letzten Turnier]]&gt;Women[[#This Row],[PR Rang]],1,IF(Women[[#This Row],[PR Rang]]=Women[[#This Row],[PR Rang beim letzten Turnier]],0,-1))</f>
        <v>1</v>
      </c>
      <c r="C49" s="112">
        <f>RANK(Women[[#This Row],[PR Punkte]],Women[PR Punkte],0)</f>
        <v>43</v>
      </c>
      <c r="D49" s="9" t="s">
        <v>527</v>
      </c>
      <c r="E49" s="9" t="s">
        <v>0</v>
      </c>
      <c r="F49" s="109">
        <f>SUM(Women[[#This Row],[PR 1]:[PR 3]])</f>
        <v>81</v>
      </c>
      <c r="G49" s="109">
        <f>LARGE(Women[[#This Row],[TS SH O 22.02.22]:[PR3]],1)</f>
        <v>44</v>
      </c>
      <c r="H49" s="109">
        <f>LARGE(Women[[#This Row],[TS SH O 22.02.22]:[PR3]],2)</f>
        <v>37</v>
      </c>
      <c r="I49" s="109">
        <f>LARGE(Women[[#This Row],[TS SH O 22.02.22]:[PR3]],3)</f>
        <v>0</v>
      </c>
      <c r="J49" s="9">
        <f>RANK(K49,$K$7:$K$108,0)</f>
        <v>43</v>
      </c>
      <c r="K49" s="109">
        <f>SUM(L49:AA49)</f>
        <v>81</v>
      </c>
      <c r="L49" s="128" t="str">
        <f>IFERROR(VLOOKUP(Women[[#This Row],[TS SH O 22.02.22 Rang]],$AU$15:$AV$72,2,0)*L$5," ")</f>
        <v xml:space="preserve"> </v>
      </c>
      <c r="M49" s="109" t="str">
        <f>IFERROR(VLOOKUP(Women[[#This Row],[TS SH W 22.02.22 Rang]],$AR$15:$AS$72,2,0)*M$5," ")</f>
        <v xml:space="preserve"> </v>
      </c>
      <c r="N49" s="109" t="str">
        <f>IFERROR(VLOOKUP(Women[[#This Row],[TS LU W 12.03.22 Rang]],$AR$15:$AS$72,2,0)*N$5," ")</f>
        <v xml:space="preserve"> </v>
      </c>
      <c r="O49" s="128" t="str">
        <f>IFERROR(VLOOKUP(Women[[#This Row],[TS SH O 23.04.22 Rang]],$AU$15:$AV$72,2,0)*O$5," ")</f>
        <v xml:space="preserve"> </v>
      </c>
      <c r="P49" s="177">
        <f>IFERROR(VLOOKUP(Women[[#This Row],[TS LA W 08.05.22 Rang]],$AR$15:$AS$72,2,0)*P$5," ")</f>
        <v>37</v>
      </c>
      <c r="Q49" s="128" t="str">
        <f>IFERROR(VLOOKUP(Women[[#This Row],[TS SG O 25.05.22 Rang]],$AU$15:$AV$72,2,0)*Q$5," ")</f>
        <v xml:space="preserve"> </v>
      </c>
      <c r="R49" s="177" t="str">
        <f>IFERROR(VLOOKUP(Women[[#This Row],[TS SG W 25.05.22 Rang]],$AR$15:$AS$72,2,0)*R$5," ")</f>
        <v xml:space="preserve"> </v>
      </c>
      <c r="S49" s="128" t="str">
        <f>IFERROR(VLOOKUP(Women[[#This Row],[TS SH O 25.06.22 Rang]],$AU$15:$AV$72,2,0)*$S$5," ")</f>
        <v xml:space="preserve"> </v>
      </c>
      <c r="T49" s="177" t="str">
        <f>IFERROR(VLOOKUP(Women[[#This Row],[TS SH W 25.06.22 Rang]],$AR$15:$AS$72,2,0)*T$5," ")</f>
        <v xml:space="preserve"> </v>
      </c>
      <c r="U49" s="177" t="str">
        <f>IFERROR(VLOOKUP(Women[[#This Row],[TS ZH W 02.07.22 Rang]],$AR$15:$AS$72,2,0)*U$5," ")</f>
        <v xml:space="preserve"> </v>
      </c>
      <c r="V49" s="128" t="str">
        <f>IFERROR(VLOOKUP(Women[[#This Row],[SM BE O/A 09.07.22 Rang]],$AU$15:$AV$72,2,0)*V47," ")</f>
        <v xml:space="preserve"> </v>
      </c>
      <c r="W49" s="128" t="str">
        <f>IFERROR(VLOOKUP(Women[[#This Row],[SM BE O/B 09.07.22 Rang]],$AU$15:$AV$72,2,0)*$W$5," ")</f>
        <v xml:space="preserve"> </v>
      </c>
      <c r="X49" s="177">
        <f>IFERROR(VLOOKUP(Women[[#This Row],[SM BE W 09.07.22 Rang]],$AR$15:$AS$72,2,0)*X$5," ")</f>
        <v>44</v>
      </c>
      <c r="Y49" s="11">
        <v>0</v>
      </c>
      <c r="Z49" s="11">
        <v>0</v>
      </c>
      <c r="AA49" s="11">
        <v>0</v>
      </c>
      <c r="AB49" s="131"/>
      <c r="AC49" s="129"/>
      <c r="AD49" s="129"/>
      <c r="AE49" s="131"/>
      <c r="AF49" s="129">
        <v>8</v>
      </c>
      <c r="AG49" s="131"/>
      <c r="AH49" s="129"/>
      <c r="AI49" s="131"/>
      <c r="AJ49" s="129"/>
      <c r="AK49" s="129"/>
      <c r="AL49" s="131"/>
      <c r="AM49" s="131"/>
      <c r="AN49" s="129">
        <v>8</v>
      </c>
      <c r="AO49" s="16"/>
      <c r="AP49" s="16"/>
      <c r="AQ49" s="16"/>
      <c r="AR49" s="47">
        <v>34</v>
      </c>
      <c r="AS49" s="49">
        <v>10</v>
      </c>
      <c r="AT49" s="16"/>
      <c r="AU49" s="49">
        <v>34</v>
      </c>
      <c r="AV49" s="49">
        <v>20</v>
      </c>
      <c r="AW49" s="16"/>
      <c r="AX49" s="16"/>
      <c r="AY49" s="16"/>
      <c r="AZ49" s="16"/>
      <c r="BA49" s="16"/>
    </row>
    <row r="50" spans="1:53" s="4" customFormat="1" x14ac:dyDescent="0.2">
      <c r="A50" s="112">
        <v>43</v>
      </c>
      <c r="B50" s="17">
        <f>IF(Women[[#This Row],[PR Rang beim letzten Turnier]]&gt;Women[[#This Row],[PR Rang]],1,IF(Women[[#This Row],[PR Rang]]=Women[[#This Row],[PR Rang beim letzten Turnier]],0,-1))</f>
        <v>-1</v>
      </c>
      <c r="C50" s="112">
        <f>RANK(Women[[#This Row],[PR Punkte]],Women[PR Punkte],0)</f>
        <v>44</v>
      </c>
      <c r="D50" s="43" t="s">
        <v>223</v>
      </c>
      <c r="E50" s="11" t="s">
        <v>11</v>
      </c>
      <c r="F50" s="109">
        <f>SUM(Women[[#This Row],[PR 1]:[PR 3]])</f>
        <v>73.7</v>
      </c>
      <c r="G50" s="109">
        <f>LARGE(Women[[#This Row],[TS SH O 22.02.22]:[PR3]],1)</f>
        <v>38.5</v>
      </c>
      <c r="H50" s="109">
        <f>LARGE(Women[[#This Row],[TS SH O 22.02.22]:[PR3]],2)</f>
        <v>35.200000000000003</v>
      </c>
      <c r="I50" s="109">
        <f>LARGE(Women[[#This Row],[TS SH O 22.02.22]:[PR3]],3)</f>
        <v>0</v>
      </c>
      <c r="J50" s="11">
        <f>RANK(K50,$K$7:$K$108,0)</f>
        <v>44</v>
      </c>
      <c r="K50" s="109">
        <f>SUM(L50:AA50)</f>
        <v>73.7</v>
      </c>
      <c r="L50" s="128" t="str">
        <f>IFERROR(VLOOKUP(Women[[#This Row],[TS SH O 22.02.22 Rang]],$AU$15:$AV$72,2,0)*L$5," ")</f>
        <v xml:space="preserve"> </v>
      </c>
      <c r="M50" s="109" t="str">
        <f>IFERROR(VLOOKUP(Women[[#This Row],[TS SH W 22.02.22 Rang]],$AR$15:$AS$72,2,0)*M$5," ")</f>
        <v xml:space="preserve"> </v>
      </c>
      <c r="N50" s="109" t="str">
        <f>IFERROR(VLOOKUP(Women[[#This Row],[TS LU W 12.03.22 Rang]],$AR$15:$AS$72,2,0)*N$5," ")</f>
        <v xml:space="preserve"> </v>
      </c>
      <c r="O50" s="128" t="str">
        <f>IFERROR(VLOOKUP(Women[[#This Row],[TS SH O 23.04.22 Rang]],$AU$15:$AV$72,2,0)*O$5," ")</f>
        <v xml:space="preserve"> </v>
      </c>
      <c r="P50" s="177" t="str">
        <f>IFERROR(VLOOKUP(Women[[#This Row],[TS LA W 08.05.22 Rang]],$AR$15:$AS$72,2,0)*P$5," ")</f>
        <v xml:space="preserve"> </v>
      </c>
      <c r="Q50" s="128" t="str">
        <f>IFERROR(VLOOKUP(Women[[#This Row],[TS SG O 25.05.22 Rang]],$AU$15:$AV$72,2,0)*Q$5," ")</f>
        <v xml:space="preserve"> </v>
      </c>
      <c r="R50" s="177">
        <f>IFERROR(VLOOKUP(Women[[#This Row],[TS SG W 25.05.22 Rang]],$AR$15:$AS$72,2,0)*R$5," ")</f>
        <v>38.5</v>
      </c>
      <c r="S50" s="128" t="str">
        <f>IFERROR(VLOOKUP(Women[[#This Row],[TS SH O 25.06.22 Rang]],$AU$15:$AV$72,2,0)*$S$5," ")</f>
        <v xml:space="preserve"> </v>
      </c>
      <c r="T50" s="177" t="str">
        <f>IFERROR(VLOOKUP(Women[[#This Row],[TS SH W 25.06.22 Rang]],$AR$15:$AS$72,2,0)*T$5," ")</f>
        <v xml:space="preserve"> </v>
      </c>
      <c r="U50" s="177" t="str">
        <f>IFERROR(VLOOKUP(Women[[#This Row],[TS ZH W 02.07.22 Rang]],$AR$15:$AS$72,2,0)*U$5," ")</f>
        <v xml:space="preserve"> </v>
      </c>
      <c r="V50" s="128" t="str">
        <f>IFERROR(VLOOKUP(Women[[#This Row],[SM BE O/A 09.07.22 Rang]],$AU$15:$AV$72,2,0)*V48," ")</f>
        <v xml:space="preserve"> </v>
      </c>
      <c r="W50" s="128" t="str">
        <f>IFERROR(VLOOKUP(Women[[#This Row],[SM BE O/B 09.07.22 Rang]],$AU$15:$AV$72,2,0)*$W$5," ")</f>
        <v xml:space="preserve"> </v>
      </c>
      <c r="X50" s="177">
        <f>IFERROR(VLOOKUP(Women[[#This Row],[SM BE W 09.07.22 Rang]],$AR$15:$AS$72,2,0)*X$5," ")</f>
        <v>35.200000000000003</v>
      </c>
      <c r="Y50" s="11">
        <v>0</v>
      </c>
      <c r="Z50" s="11">
        <v>0</v>
      </c>
      <c r="AA50" s="11">
        <v>0</v>
      </c>
      <c r="AB50" s="131"/>
      <c r="AC50" s="129"/>
      <c r="AD50" s="129"/>
      <c r="AE50" s="131"/>
      <c r="AF50" s="129"/>
      <c r="AG50" s="131"/>
      <c r="AH50" s="129">
        <v>8</v>
      </c>
      <c r="AI50" s="131"/>
      <c r="AJ50" s="129"/>
      <c r="AK50" s="129"/>
      <c r="AL50" s="131"/>
      <c r="AM50" s="131"/>
      <c r="AN50" s="129">
        <v>12</v>
      </c>
      <c r="AO50" s="16"/>
      <c r="AP50" s="16"/>
      <c r="AQ50" s="16"/>
      <c r="AR50" s="47">
        <v>35</v>
      </c>
      <c r="AS50" s="49">
        <v>10</v>
      </c>
      <c r="AT50" s="16"/>
      <c r="AU50" s="49">
        <v>35</v>
      </c>
      <c r="AV50" s="49">
        <v>20</v>
      </c>
      <c r="AW50" s="16"/>
      <c r="AX50" s="16"/>
      <c r="AY50" s="16"/>
      <c r="AZ50" s="16"/>
      <c r="BA50" s="16"/>
    </row>
    <row r="51" spans="1:53" s="4" customFormat="1" x14ac:dyDescent="0.2">
      <c r="A51" s="112">
        <v>54</v>
      </c>
      <c r="B51" s="17">
        <f>IF(Women[[#This Row],[PR Rang beim letzten Turnier]]&gt;Women[[#This Row],[PR Rang]],1,IF(Women[[#This Row],[PR Rang]]=Women[[#This Row],[PR Rang beim letzten Turnier]],0,-1))</f>
        <v>1</v>
      </c>
      <c r="C51" s="112">
        <f>RANK(Women[[#This Row],[PR Punkte]],Women[PR Punkte],0)</f>
        <v>45</v>
      </c>
      <c r="D51" s="8" t="s">
        <v>165</v>
      </c>
      <c r="E51" s="9" t="s">
        <v>16</v>
      </c>
      <c r="F51" s="109">
        <f>SUM(Women[[#This Row],[PR 1]:[PR 3]])</f>
        <v>72</v>
      </c>
      <c r="G51" s="109">
        <f>LARGE(Women[[#This Row],[TS SH O 22.02.22]:[PR3]],1)</f>
        <v>45.6</v>
      </c>
      <c r="H51" s="109">
        <f>LARGE(Women[[#This Row],[TS SH O 22.02.22]:[PR3]],2)</f>
        <v>26.4</v>
      </c>
      <c r="I51" s="109">
        <f>LARGE(Women[[#This Row],[TS SH O 22.02.22]:[PR3]],3)</f>
        <v>0</v>
      </c>
      <c r="J51" s="9">
        <f>RANK(K51,$K$7:$K$108,0)</f>
        <v>45</v>
      </c>
      <c r="K51" s="109">
        <f>SUM(L51:AA51)</f>
        <v>72</v>
      </c>
      <c r="L51" s="128" t="str">
        <f>IFERROR(VLOOKUP(Women[[#This Row],[TS SH O 22.02.22 Rang]],$AU$15:$AV$72,2,0)*L$5," ")</f>
        <v xml:space="preserve"> </v>
      </c>
      <c r="M51" s="109">
        <f>IFERROR(VLOOKUP(Women[[#This Row],[TS SH W 22.02.22 Rang]],$AR$15:$AS$72,2,0)*M$5," ")</f>
        <v>45.6</v>
      </c>
      <c r="N51" s="109" t="str">
        <f>IFERROR(VLOOKUP(Women[[#This Row],[TS LU W 12.03.22 Rang]],$AR$15:$AS$72,2,0)*N$5," ")</f>
        <v xml:space="preserve"> </v>
      </c>
      <c r="O51" s="128" t="str">
        <f>IFERROR(VLOOKUP(Women[[#This Row],[TS SH O 23.04.22 Rang]],$AU$15:$AV$72,2,0)*O$5," ")</f>
        <v xml:space="preserve"> </v>
      </c>
      <c r="P51" s="177" t="str">
        <f>IFERROR(VLOOKUP(Women[[#This Row],[TS LA W 08.05.22 Rang]],$AR$15:$AS$72,2,0)*P$5," ")</f>
        <v xml:space="preserve"> </v>
      </c>
      <c r="Q51" s="128" t="str">
        <f>IFERROR(VLOOKUP(Women[[#This Row],[TS SG O 25.05.22 Rang]],$AU$15:$AV$72,2,0)*Q$5," ")</f>
        <v xml:space="preserve"> </v>
      </c>
      <c r="R51" s="177" t="str">
        <f>IFERROR(VLOOKUP(Women[[#This Row],[TS SG W 25.05.22 Rang]],$AR$15:$AS$72,2,0)*R$5," ")</f>
        <v xml:space="preserve"> </v>
      </c>
      <c r="S51" s="128" t="str">
        <f>IFERROR(VLOOKUP(Women[[#This Row],[TS SH O 25.06.22 Rang]],$AU$15:$AV$72,2,0)*$S$5," ")</f>
        <v xml:space="preserve"> </v>
      </c>
      <c r="T51" s="177" t="str">
        <f>IFERROR(VLOOKUP(Women[[#This Row],[TS SH W 25.06.22 Rang]],$AR$15:$AS$72,2,0)*T$5," ")</f>
        <v xml:space="preserve"> </v>
      </c>
      <c r="U51" s="177" t="str">
        <f>IFERROR(VLOOKUP(Women[[#This Row],[TS ZH W 02.07.22 Rang]],$AR$15:$AS$72,2,0)*U$5," ")</f>
        <v xml:space="preserve"> </v>
      </c>
      <c r="V51" s="128" t="str">
        <f>IFERROR(VLOOKUP(Women[[#This Row],[SM BE O/A 09.07.22 Rang]],$AU$15:$AV$72,2,0)*V49," ")</f>
        <v xml:space="preserve"> </v>
      </c>
      <c r="W51" s="128" t="str">
        <f>IFERROR(VLOOKUP(Women[[#This Row],[SM BE O/B 09.07.22 Rang]],$AU$15:$AV$72,2,0)*$W$5," ")</f>
        <v xml:space="preserve"> </v>
      </c>
      <c r="X51" s="177">
        <f>IFERROR(VLOOKUP(Women[[#This Row],[SM BE W 09.07.22 Rang]],$AR$15:$AS$72,2,0)*X$5," ")</f>
        <v>26.4</v>
      </c>
      <c r="Y51" s="11">
        <v>0</v>
      </c>
      <c r="Z51" s="11">
        <v>0</v>
      </c>
      <c r="AA51" s="11">
        <v>0</v>
      </c>
      <c r="AB51" s="131"/>
      <c r="AC51" s="129">
        <v>7</v>
      </c>
      <c r="AD51" s="129"/>
      <c r="AE51" s="131"/>
      <c r="AF51" s="129"/>
      <c r="AG51" s="131"/>
      <c r="AH51" s="129"/>
      <c r="AI51" s="131"/>
      <c r="AJ51" s="129"/>
      <c r="AK51" s="129"/>
      <c r="AL51" s="131"/>
      <c r="AM51" s="131"/>
      <c r="AN51" s="129">
        <v>18</v>
      </c>
      <c r="AO51" s="16"/>
      <c r="AP51" s="16"/>
      <c r="AQ51" s="16"/>
      <c r="AR51" s="47">
        <v>36</v>
      </c>
      <c r="AS51" s="49">
        <v>10</v>
      </c>
      <c r="AT51" s="16"/>
      <c r="AU51" s="49">
        <v>36</v>
      </c>
      <c r="AV51" s="49">
        <v>20</v>
      </c>
      <c r="AW51" s="16"/>
      <c r="AX51" s="16"/>
      <c r="AY51" s="16"/>
      <c r="AZ51" s="16"/>
      <c r="BA51" s="16"/>
    </row>
    <row r="52" spans="1:53" s="4" customFormat="1" x14ac:dyDescent="0.2">
      <c r="A52" s="112">
        <v>50</v>
      </c>
      <c r="B52" s="17">
        <f>IF(Women[[#This Row],[PR Rang beim letzten Turnier]]&gt;Women[[#This Row],[PR Rang]],1,IF(Women[[#This Row],[PR Rang]]=Women[[#This Row],[PR Rang beim letzten Turnier]],0,-1))</f>
        <v>1</v>
      </c>
      <c r="C52" s="112">
        <f>RANK(Women[[#This Row],[PR Punkte]],Women[PR Punkte],0)</f>
        <v>46</v>
      </c>
      <c r="D52" s="9" t="s">
        <v>293</v>
      </c>
      <c r="E52" s="9" t="s">
        <v>0</v>
      </c>
      <c r="F52" s="109">
        <f>SUM(Women[[#This Row],[PR 1]:[PR 3]])</f>
        <v>65.599999999999994</v>
      </c>
      <c r="G52" s="109">
        <f>LARGE(Women[[#This Row],[TS SH O 22.02.22]:[PR3]],1)</f>
        <v>35.200000000000003</v>
      </c>
      <c r="H52" s="109">
        <f>LARGE(Women[[#This Row],[TS SH O 22.02.22]:[PR3]],2)</f>
        <v>30.4</v>
      </c>
      <c r="I52" s="109">
        <f>LARGE(Women[[#This Row],[TS SH O 22.02.22]:[PR3]],3)</f>
        <v>0</v>
      </c>
      <c r="J52" s="9">
        <f>RANK(K52,$K$7:$K$108,0)</f>
        <v>46</v>
      </c>
      <c r="K52" s="109">
        <f>SUM(L52:AA52)</f>
        <v>65.599999999999994</v>
      </c>
      <c r="L52" s="128" t="str">
        <f>IFERROR(VLOOKUP(Women[[#This Row],[TS SH O 22.02.22 Rang]],$AU$15:$AV$72,2,0)*L$5," ")</f>
        <v xml:space="preserve"> </v>
      </c>
      <c r="M52" s="109" t="str">
        <f>IFERROR(VLOOKUP(Women[[#This Row],[TS SH W 22.02.22 Rang]],$AR$15:$AS$72,2,0)*M$5," ")</f>
        <v xml:space="preserve"> </v>
      </c>
      <c r="N52" s="109" t="str">
        <f>IFERROR(VLOOKUP(Women[[#This Row],[TS LU W 12.03.22 Rang]],$AR$15:$AS$72,2,0)*N$5," ")</f>
        <v xml:space="preserve"> </v>
      </c>
      <c r="O52" s="128" t="str">
        <f>IFERROR(VLOOKUP(Women[[#This Row],[TS SH O 23.04.22 Rang]],$AU$15:$AV$72,2,0)*O$5," ")</f>
        <v xml:space="preserve"> </v>
      </c>
      <c r="P52" s="177" t="str">
        <f>IFERROR(VLOOKUP(Women[[#This Row],[TS LA W 08.05.22 Rang]],$AR$15:$AS$72,2,0)*P$5," ")</f>
        <v xml:space="preserve"> </v>
      </c>
      <c r="Q52" s="128" t="str">
        <f>IFERROR(VLOOKUP(Women[[#This Row],[TS SG O 25.05.22 Rang]],$AU$15:$AV$72,2,0)*Q$5," ")</f>
        <v xml:space="preserve"> </v>
      </c>
      <c r="R52" s="177" t="str">
        <f>IFERROR(VLOOKUP(Women[[#This Row],[TS SG W 25.05.22 Rang]],$AR$15:$AS$72,2,0)*R$5," ")</f>
        <v xml:space="preserve"> </v>
      </c>
      <c r="S52" s="128" t="str">
        <f>IFERROR(VLOOKUP(Women[[#This Row],[TS SH O 25.06.22 Rang]],$AU$15:$AV$72,2,0)*$S$5," ")</f>
        <v xml:space="preserve"> </v>
      </c>
      <c r="T52" s="177">
        <f>IFERROR(VLOOKUP(Women[[#This Row],[TS SH W 25.06.22 Rang]],$AR$15:$AS$72,2,0)*T$5," ")</f>
        <v>30.4</v>
      </c>
      <c r="U52" s="177" t="str">
        <f>IFERROR(VLOOKUP(Women[[#This Row],[TS ZH W 02.07.22 Rang]],$AR$15:$AS$72,2,0)*U$5," ")</f>
        <v xml:space="preserve"> </v>
      </c>
      <c r="V52" s="128" t="str">
        <f>IFERROR(VLOOKUP(Women[[#This Row],[SM BE O/A 09.07.22 Rang]],$AU$15:$AV$72,2,0)*V50," ")</f>
        <v xml:space="preserve"> </v>
      </c>
      <c r="W52" s="128" t="str">
        <f>IFERROR(VLOOKUP(Women[[#This Row],[SM BE O/B 09.07.22 Rang]],$AU$15:$AV$72,2,0)*$W$5," ")</f>
        <v xml:space="preserve"> </v>
      </c>
      <c r="X52" s="177">
        <f>IFERROR(VLOOKUP(Women[[#This Row],[SM BE W 09.07.22 Rang]],$AR$15:$AS$72,2,0)*X$5," ")</f>
        <v>35.200000000000003</v>
      </c>
      <c r="Y52" s="11">
        <v>0</v>
      </c>
      <c r="Z52" s="11">
        <v>0</v>
      </c>
      <c r="AA52" s="11">
        <v>0</v>
      </c>
      <c r="AB52" s="131"/>
      <c r="AC52" s="129"/>
      <c r="AD52" s="129"/>
      <c r="AE52" s="131"/>
      <c r="AF52" s="129"/>
      <c r="AG52" s="131"/>
      <c r="AH52" s="129"/>
      <c r="AI52" s="131"/>
      <c r="AJ52" s="129">
        <v>9</v>
      </c>
      <c r="AK52" s="129"/>
      <c r="AL52" s="131"/>
      <c r="AM52" s="131"/>
      <c r="AN52" s="129">
        <v>14</v>
      </c>
      <c r="AO52" s="16"/>
      <c r="AP52" s="16"/>
      <c r="AQ52" s="16"/>
      <c r="AR52" s="47">
        <v>37</v>
      </c>
      <c r="AS52" s="49">
        <v>10</v>
      </c>
      <c r="AT52" s="16"/>
      <c r="AU52" s="49">
        <v>37</v>
      </c>
      <c r="AV52" s="49">
        <v>20</v>
      </c>
      <c r="AW52" s="16"/>
      <c r="AX52" s="16"/>
      <c r="AY52" s="16"/>
      <c r="AZ52" s="16"/>
      <c r="BA52" s="16"/>
    </row>
    <row r="53" spans="1:53" s="4" customFormat="1" x14ac:dyDescent="0.2">
      <c r="A53" s="238">
        <v>90</v>
      </c>
      <c r="B53" s="239">
        <f>IF(Women[[#This Row],[PR Rang beim letzten Turnier]]&gt;Women[[#This Row],[PR Rang]],1,IF(Women[[#This Row],[PR Rang]]=Women[[#This Row],[PR Rang beim letzten Turnier]],0,-1))</f>
        <v>1</v>
      </c>
      <c r="C53" s="238">
        <f>RANK(Women[[#This Row],[PR Punkte]],Women[PR Punkte],0)</f>
        <v>47</v>
      </c>
      <c r="D53" s="240" t="s">
        <v>636</v>
      </c>
      <c r="E53" s="11" t="s">
        <v>0</v>
      </c>
      <c r="F53" s="241">
        <f>SUM(Women[[#This Row],[PR 1]:[PR 3]])</f>
        <v>65.400000000000006</v>
      </c>
      <c r="G53" s="109">
        <f>LARGE(Women[[#This Row],[TS SH O 22.02.22]:[PR3]],1)</f>
        <v>39</v>
      </c>
      <c r="H53" s="109">
        <f>LARGE(Women[[#This Row],[TS SH O 22.02.22]:[PR3]],2)</f>
        <v>26.4</v>
      </c>
      <c r="I53" s="109">
        <f>LARGE(Women[[#This Row],[TS SH O 22.02.22]:[PR3]],3)</f>
        <v>0</v>
      </c>
      <c r="J53" s="86">
        <f>RANK(K53,$K$7:$K$108,0)</f>
        <v>47</v>
      </c>
      <c r="K53" s="241">
        <f>SUM(L53:AA53)</f>
        <v>65.400000000000006</v>
      </c>
      <c r="L53" s="242" t="str">
        <f>IFERROR(VLOOKUP(Women[[#This Row],[TS SH O 22.02.22 Rang]],$AU$15:$AV$72,2,0)*L$5," ")</f>
        <v xml:space="preserve"> </v>
      </c>
      <c r="M53" s="243" t="str">
        <f>IFERROR(VLOOKUP(Women[[#This Row],[TS SH W 22.02.22 Rang]],$AR$15:$AS$72,2,0)*M$5," ")</f>
        <v xml:space="preserve"> </v>
      </c>
      <c r="N53" s="243" t="str">
        <f>IFERROR(VLOOKUP(Women[[#This Row],[TS LU W 12.03.22 Rang]],$AR$15:$AS$72,2,0)*N$5," ")</f>
        <v xml:space="preserve"> </v>
      </c>
      <c r="O53" s="242" t="str">
        <f>IFERROR(VLOOKUP(Women[[#This Row],[TS SH O 23.04.22 Rang]],$AU$15:$AV$72,2,0)*O$5," ")</f>
        <v xml:space="preserve"> </v>
      </c>
      <c r="P53" s="243" t="str">
        <f>IFERROR(VLOOKUP(Women[[#This Row],[TS LA W 08.05.22 Rang]],$AR$15:$AS$72,2,0)*P$5," ")</f>
        <v xml:space="preserve"> </v>
      </c>
      <c r="Q53" s="128" t="str">
        <f>IFERROR(VLOOKUP(Women[[#This Row],[TS SG O 25.05.22 Rang]],$AU$15:$AV$72,2,0)*Q$5," ")</f>
        <v xml:space="preserve"> </v>
      </c>
      <c r="R53" s="177" t="str">
        <f>IFERROR(VLOOKUP(Women[[#This Row],[TS SG W 25.05.22 Rang]],$AR$15:$AS$72,2,0)*R$5," ")</f>
        <v xml:space="preserve"> </v>
      </c>
      <c r="S53" s="128" t="str">
        <f>IFERROR(VLOOKUP(Women[[#This Row],[TS SH O 25.06.22 Rang]],$AU$15:$AV$72,2,0)*$S$5," ")</f>
        <v xml:space="preserve"> </v>
      </c>
      <c r="T53" s="177" t="str">
        <f>IFERROR(VLOOKUP(Women[[#This Row],[TS SH W 25.06.22 Rang]],$AR$15:$AS$72,2,0)*T$5," ")</f>
        <v xml:space="preserve"> </v>
      </c>
      <c r="U53" s="177">
        <f>IFERROR(VLOOKUP(Women[[#This Row],[TS ZH W 02.07.22 Rang]],$AR$15:$AS$72,2,0)*U$5," ")</f>
        <v>39</v>
      </c>
      <c r="V53" s="128" t="str">
        <f>IFERROR(VLOOKUP(Women[[#This Row],[SM BE O/A 09.07.22 Rang]],$AU$15:$AV$72,2,0)*V51," ")</f>
        <v xml:space="preserve"> </v>
      </c>
      <c r="W53" s="128" t="str">
        <f>IFERROR(VLOOKUP(Women[[#This Row],[SM BE O/B 09.07.22 Rang]],$AU$15:$AV$72,2,0)*$W$5," ")</f>
        <v xml:space="preserve"> </v>
      </c>
      <c r="X53" s="177">
        <f>IFERROR(VLOOKUP(Women[[#This Row],[SM BE W 09.07.22 Rang]],$AR$15:$AS$72,2,0)*X$5," ")</f>
        <v>26.4</v>
      </c>
      <c r="Y53" s="244">
        <v>0</v>
      </c>
      <c r="Z53" s="244">
        <v>0</v>
      </c>
      <c r="AA53" s="244">
        <v>0</v>
      </c>
      <c r="AB53" s="131"/>
      <c r="AC53" s="129"/>
      <c r="AD53" s="129"/>
      <c r="AE53" s="131"/>
      <c r="AF53" s="129"/>
      <c r="AG53" s="131"/>
      <c r="AH53" s="129"/>
      <c r="AI53" s="131"/>
      <c r="AJ53" s="129"/>
      <c r="AK53" s="129">
        <v>7</v>
      </c>
      <c r="AL53" s="131"/>
      <c r="AM53" s="131"/>
      <c r="AN53" s="129">
        <v>19</v>
      </c>
      <c r="AO53" s="16"/>
      <c r="AP53" s="16"/>
      <c r="AQ53" s="16"/>
      <c r="AR53" s="47">
        <v>38</v>
      </c>
      <c r="AS53" s="49">
        <v>10</v>
      </c>
      <c r="AT53" s="16"/>
      <c r="AU53" s="49">
        <v>38</v>
      </c>
      <c r="AV53" s="49">
        <v>20</v>
      </c>
      <c r="AW53" s="16"/>
      <c r="AX53" s="16"/>
      <c r="AY53" s="16"/>
      <c r="AZ53" s="16"/>
      <c r="BA53" s="16"/>
    </row>
    <row r="54" spans="1:53" s="4" customFormat="1" x14ac:dyDescent="0.2">
      <c r="A54" s="112">
        <v>34</v>
      </c>
      <c r="B54" s="17">
        <f>IF(Women[[#This Row],[PR Rang beim letzten Turnier]]&gt;Women[[#This Row],[PR Rang]],1,IF(Women[[#This Row],[PR Rang]]=Women[[#This Row],[PR Rang beim letzten Turnier]],0,-1))</f>
        <v>-1</v>
      </c>
      <c r="C54" s="112">
        <f>RANK(Women[[#This Row],[PR Punkte]],Women[PR Punkte],0)</f>
        <v>48</v>
      </c>
      <c r="D54" s="8" t="s">
        <v>163</v>
      </c>
      <c r="E54" s="9" t="s">
        <v>10</v>
      </c>
      <c r="F54" s="109">
        <f>SUM(Women[[#This Row],[PR 1]:[PR 3]])</f>
        <v>62.9</v>
      </c>
      <c r="G54" s="109">
        <f>LARGE(Women[[#This Row],[TS SH O 22.02.22]:[PR3]],1)</f>
        <v>32.5</v>
      </c>
      <c r="H54" s="109">
        <f>LARGE(Women[[#This Row],[TS SH O 22.02.22]:[PR3]],2)</f>
        <v>30.4</v>
      </c>
      <c r="I54" s="109">
        <f>LARGE(Women[[#This Row],[TS SH O 22.02.22]:[PR3]],3)</f>
        <v>0</v>
      </c>
      <c r="J54" s="9">
        <f>RANK(K54,$K$7:$K$108,0)</f>
        <v>48</v>
      </c>
      <c r="K54" s="109">
        <f>SUM(L54:AA54)</f>
        <v>62.9</v>
      </c>
      <c r="L54" s="128" t="str">
        <f>IFERROR(VLOOKUP(Women[[#This Row],[TS SH O 22.02.22 Rang]],$AU$15:$AV$72,2,0)*L$5," ")</f>
        <v xml:space="preserve"> </v>
      </c>
      <c r="M54" s="109" t="str">
        <f>IFERROR(VLOOKUP(Women[[#This Row],[TS SH W 22.02.22 Rang]],$AR$15:$AS$72,2,0)*M$5," ")</f>
        <v xml:space="preserve"> </v>
      </c>
      <c r="N54" s="109" t="str">
        <f>IFERROR(VLOOKUP(Women[[#This Row],[TS LU W 12.03.22 Rang]],$AR$15:$AS$72,2,0)*N$5," ")</f>
        <v xml:space="preserve"> </v>
      </c>
      <c r="O54" s="128" t="str">
        <f>IFERROR(VLOOKUP(Women[[#This Row],[TS SH O 23.04.22 Rang]],$AU$15:$AV$72,2,0)*O$5," ")</f>
        <v xml:space="preserve"> </v>
      </c>
      <c r="P54" s="177" t="str">
        <f>IFERROR(VLOOKUP(Women[[#This Row],[TS LA W 08.05.22 Rang]],$AR$15:$AS$72,2,0)*P$5," ")</f>
        <v xml:space="preserve"> </v>
      </c>
      <c r="Q54" s="128" t="str">
        <f>IFERROR(VLOOKUP(Women[[#This Row],[TS SG O 25.05.22 Rang]],$AU$15:$AV$72,2,0)*Q$5," ")</f>
        <v xml:space="preserve"> </v>
      </c>
      <c r="R54" s="177" t="str">
        <f>IFERROR(VLOOKUP(Women[[#This Row],[TS SG W 25.05.22 Rang]],$AR$15:$AS$72,2,0)*R$5," ")</f>
        <v xml:space="preserve"> </v>
      </c>
      <c r="S54" s="128" t="str">
        <f>IFERROR(VLOOKUP(Women[[#This Row],[TS SH O 25.06.22 Rang]],$AU$15:$AV$72,2,0)*$S$5," ")</f>
        <v xml:space="preserve"> </v>
      </c>
      <c r="T54" s="177">
        <f>IFERROR(VLOOKUP(Women[[#This Row],[TS SH W 25.06.22 Rang]],$AR$15:$AS$72,2,0)*T$5," ")</f>
        <v>30.4</v>
      </c>
      <c r="U54" s="177">
        <f>IFERROR(VLOOKUP(Women[[#This Row],[TS ZH W 02.07.22 Rang]],$AR$15:$AS$72,2,0)*U$5," ")</f>
        <v>32.5</v>
      </c>
      <c r="V54" s="128" t="str">
        <f>IFERROR(VLOOKUP(Women[[#This Row],[SM BE O/A 09.07.22 Rang]],$AU$15:$AV$72,2,0)*V52," ")</f>
        <v xml:space="preserve"> </v>
      </c>
      <c r="W54" s="128" t="str">
        <f>IFERROR(VLOOKUP(Women[[#This Row],[SM BE O/B 09.07.22 Rang]],$AU$15:$AV$72,2,0)*$W$5," ")</f>
        <v xml:space="preserve"> </v>
      </c>
      <c r="X54" s="177" t="str">
        <f>IFERROR(VLOOKUP(Women[[#This Row],[SM BE W 09.07.22 Rang]],$AR$15:$AS$72,2,0)*X$5," ")</f>
        <v xml:space="preserve"> </v>
      </c>
      <c r="Y54" s="11">
        <v>0</v>
      </c>
      <c r="Z54" s="11">
        <v>0</v>
      </c>
      <c r="AA54" s="11">
        <v>0</v>
      </c>
      <c r="AB54" s="131"/>
      <c r="AC54" s="129"/>
      <c r="AD54" s="129"/>
      <c r="AE54" s="131"/>
      <c r="AF54" s="129"/>
      <c r="AG54" s="131"/>
      <c r="AH54" s="129"/>
      <c r="AI54" s="131"/>
      <c r="AJ54" s="129">
        <v>11</v>
      </c>
      <c r="AK54" s="129">
        <v>8</v>
      </c>
      <c r="AL54" s="131"/>
      <c r="AM54" s="131"/>
      <c r="AN54" s="129"/>
      <c r="AO54" s="16"/>
      <c r="AP54" s="16"/>
      <c r="AQ54" s="16"/>
      <c r="AR54" s="47">
        <v>39</v>
      </c>
      <c r="AS54" s="49">
        <v>10</v>
      </c>
      <c r="AT54" s="16"/>
      <c r="AU54" s="49">
        <v>39</v>
      </c>
      <c r="AV54" s="49">
        <v>20</v>
      </c>
      <c r="AW54" s="16"/>
    </row>
    <row r="55" spans="1:53" s="4" customFormat="1" x14ac:dyDescent="0.2">
      <c r="A55" s="112">
        <v>24</v>
      </c>
      <c r="B55" s="17">
        <f>IF(Women[[#This Row],[PR Rang beim letzten Turnier]]&gt;Women[[#This Row],[PR Rang]],1,IF(Women[[#This Row],[PR Rang]]=Women[[#This Row],[PR Rang beim letzten Turnier]],0,-1))</f>
        <v>-1</v>
      </c>
      <c r="C55" s="112">
        <f>RANK(Women[[#This Row],[PR Punkte]],Women[PR Punkte],0)</f>
        <v>49</v>
      </c>
      <c r="D55" s="17" t="s">
        <v>46</v>
      </c>
      <c r="E55" s="11" t="s">
        <v>10</v>
      </c>
      <c r="F55" s="109">
        <f>SUM(Women[[#This Row],[PR 1]:[PR 3]])</f>
        <v>61.2</v>
      </c>
      <c r="G55" s="109">
        <f>LARGE(Women[[#This Row],[TS SH O 22.02.22]:[PR3]],1)</f>
        <v>35.200000000000003</v>
      </c>
      <c r="H55" s="109">
        <f>LARGE(Women[[#This Row],[TS SH O 22.02.22]:[PR3]],2)</f>
        <v>26</v>
      </c>
      <c r="I55" s="109">
        <f>LARGE(Women[[#This Row],[TS SH O 22.02.22]:[PR3]],3)</f>
        <v>0</v>
      </c>
      <c r="J55" s="11">
        <f>RANK(K55,$K$7:$K$108,0)</f>
        <v>49</v>
      </c>
      <c r="K55" s="109">
        <f>SUM(L55:AA55)</f>
        <v>61.2</v>
      </c>
      <c r="L55" s="128" t="str">
        <f>IFERROR(VLOOKUP(Women[[#This Row],[TS SH O 22.02.22 Rang]],$AU$15:$AV$72,2,0)*L$5," ")</f>
        <v xml:space="preserve"> </v>
      </c>
      <c r="M55" s="109" t="str">
        <f>IFERROR(VLOOKUP(Women[[#This Row],[TS SH W 22.02.22 Rang]],$AR$15:$AS$72,2,0)*M$5," ")</f>
        <v xml:space="preserve"> </v>
      </c>
      <c r="N55" s="109" t="str">
        <f>IFERROR(VLOOKUP(Women[[#This Row],[TS LU W 12.03.22 Rang]],$AR$15:$AS$72,2,0)*N$5," ")</f>
        <v xml:space="preserve"> </v>
      </c>
      <c r="O55" s="128" t="str">
        <f>IFERROR(VLOOKUP(Women[[#This Row],[TS SH O 23.04.22 Rang]],$AU$15:$AV$72,2,0)*O$5," ")</f>
        <v xml:space="preserve"> </v>
      </c>
      <c r="P55" s="177" t="str">
        <f>IFERROR(VLOOKUP(Women[[#This Row],[TS LA W 08.05.22 Rang]],$AR$15:$AS$72,2,0)*P$5," ")</f>
        <v xml:space="preserve"> </v>
      </c>
      <c r="Q55" s="128" t="str">
        <f>IFERROR(VLOOKUP(Women[[#This Row],[TS SG O 25.05.22 Rang]],$AU$15:$AV$72,2,0)*Q$5," ")</f>
        <v xml:space="preserve"> </v>
      </c>
      <c r="R55" s="177" t="str">
        <f>IFERROR(VLOOKUP(Women[[#This Row],[TS SG W 25.05.22 Rang]],$AR$15:$AS$72,2,0)*R$5," ")</f>
        <v xml:space="preserve"> </v>
      </c>
      <c r="S55" s="128" t="str">
        <f>IFERROR(VLOOKUP(Women[[#This Row],[TS SH O 25.06.22 Rang]],$AU$15:$AV$72,2,0)*$S$5," ")</f>
        <v xml:space="preserve"> </v>
      </c>
      <c r="T55" s="177" t="str">
        <f>IFERROR(VLOOKUP(Women[[#This Row],[TS SH W 25.06.22 Rang]],$AR$15:$AS$72,2,0)*T$5," ")</f>
        <v xml:space="preserve"> </v>
      </c>
      <c r="U55" s="177">
        <f>IFERROR(VLOOKUP(Women[[#This Row],[TS ZH W 02.07.22 Rang]],$AR$15:$AS$72,2,0)*U$5," ")</f>
        <v>26</v>
      </c>
      <c r="V55" s="128" t="str">
        <f>IFERROR(VLOOKUP(Women[[#This Row],[SM BE O/A 09.07.22 Rang]],$AU$15:$AV$72,2,0)*V53," ")</f>
        <v xml:space="preserve"> </v>
      </c>
      <c r="W55" s="128" t="str">
        <f>IFERROR(VLOOKUP(Women[[#This Row],[SM BE O/B 09.07.22 Rang]],$AU$15:$AV$72,2,0)*$W$5," ")</f>
        <v xml:space="preserve"> </v>
      </c>
      <c r="X55" s="177">
        <f>IFERROR(VLOOKUP(Women[[#This Row],[SM BE W 09.07.22 Rang]],$AR$15:$AS$72,2,0)*X$5," ")</f>
        <v>35.200000000000003</v>
      </c>
      <c r="Y55" s="11">
        <v>0</v>
      </c>
      <c r="Z55" s="11">
        <v>0</v>
      </c>
      <c r="AA55" s="11">
        <v>0</v>
      </c>
      <c r="AB55" s="131"/>
      <c r="AC55" s="129"/>
      <c r="AD55" s="129"/>
      <c r="AE55" s="131"/>
      <c r="AF55" s="129"/>
      <c r="AG55" s="131"/>
      <c r="AH55" s="129"/>
      <c r="AI55" s="131"/>
      <c r="AJ55" s="129"/>
      <c r="AK55" s="129">
        <v>9</v>
      </c>
      <c r="AL55" s="131"/>
      <c r="AM55" s="131"/>
      <c r="AN55" s="129">
        <v>11</v>
      </c>
      <c r="AO55" s="16"/>
      <c r="AP55" s="16"/>
      <c r="AQ55" s="16"/>
      <c r="AR55" s="47">
        <v>40</v>
      </c>
      <c r="AS55" s="49">
        <v>10</v>
      </c>
      <c r="AT55" s="16"/>
      <c r="AU55" s="49">
        <v>40</v>
      </c>
      <c r="AV55" s="49">
        <v>20</v>
      </c>
      <c r="AW55" s="16"/>
    </row>
    <row r="56" spans="1:53" s="4" customFormat="1" x14ac:dyDescent="0.2">
      <c r="A56" s="112">
        <v>45</v>
      </c>
      <c r="B56" s="17">
        <f>IF(Women[[#This Row],[PR Rang beim letzten Turnier]]&gt;Women[[#This Row],[PR Rang]],1,IF(Women[[#This Row],[PR Rang]]=Women[[#This Row],[PR Rang beim letzten Turnier]],0,-1))</f>
        <v>-1</v>
      </c>
      <c r="C56" s="112">
        <f>RANK(Women[[#This Row],[PR Punkte]],Women[PR Punkte],0)</f>
        <v>50</v>
      </c>
      <c r="D56" s="9" t="s">
        <v>385</v>
      </c>
      <c r="E56" s="9" t="s">
        <v>8</v>
      </c>
      <c r="F56" s="109">
        <f>SUM(Women[[#This Row],[PR 1]:[PR 3]])</f>
        <v>60.8</v>
      </c>
      <c r="G56" s="109">
        <f>LARGE(Women[[#This Row],[TS SH O 22.02.22]:[PR3]],1)</f>
        <v>34.4</v>
      </c>
      <c r="H56" s="109">
        <f>LARGE(Women[[#This Row],[TS SH O 22.02.22]:[PR3]],2)</f>
        <v>26.4</v>
      </c>
      <c r="I56" s="109">
        <f>LARGE(Women[[#This Row],[TS SH O 22.02.22]:[PR3]],3)</f>
        <v>0</v>
      </c>
      <c r="J56" s="9">
        <f>RANK(K56,$K$7:$K$108,0)</f>
        <v>50</v>
      </c>
      <c r="K56" s="109">
        <f>SUM(L56:AA56)</f>
        <v>60.8</v>
      </c>
      <c r="L56" s="128" t="str">
        <f>IFERROR(VLOOKUP(Women[[#This Row],[TS SH O 22.02.22 Rang]],$AU$15:$AV$72,2,0)*L$5," ")</f>
        <v xml:space="preserve"> </v>
      </c>
      <c r="M56" s="109" t="str">
        <f>IFERROR(VLOOKUP(Women[[#This Row],[TS SH W 22.02.22 Rang]],$AR$15:$AS$72,2,0)*M$5," ")</f>
        <v xml:space="preserve"> </v>
      </c>
      <c r="N56" s="109">
        <f>IFERROR(VLOOKUP(Women[[#This Row],[TS LU W 12.03.22 Rang]],$AR$15:$AS$72,2,0)*N$5," ")</f>
        <v>34.4</v>
      </c>
      <c r="O56" s="128" t="str">
        <f>IFERROR(VLOOKUP(Women[[#This Row],[TS SH O 23.04.22 Rang]],$AU$15:$AV$72,2,0)*O$5," ")</f>
        <v xml:space="preserve"> </v>
      </c>
      <c r="P56" s="177" t="str">
        <f>IFERROR(VLOOKUP(Women[[#This Row],[TS LA W 08.05.22 Rang]],$AR$15:$AS$72,2,0)*P$5," ")</f>
        <v xml:space="preserve"> </v>
      </c>
      <c r="Q56" s="128" t="str">
        <f>IFERROR(VLOOKUP(Women[[#This Row],[TS SG O 25.05.22 Rang]],$AU$15:$AV$72,2,0)*Q$5," ")</f>
        <v xml:space="preserve"> </v>
      </c>
      <c r="R56" s="177" t="str">
        <f>IFERROR(VLOOKUP(Women[[#This Row],[TS SG W 25.05.22 Rang]],$AR$15:$AS$72,2,0)*R$5," ")</f>
        <v xml:space="preserve"> </v>
      </c>
      <c r="S56" s="128" t="str">
        <f>IFERROR(VLOOKUP(Women[[#This Row],[TS SH O 25.06.22 Rang]],$AU$15:$AV$72,2,0)*$S$5," ")</f>
        <v xml:space="preserve"> </v>
      </c>
      <c r="T56" s="177" t="str">
        <f>IFERROR(VLOOKUP(Women[[#This Row],[TS SH W 25.06.22 Rang]],$AR$15:$AS$72,2,0)*T$5," ")</f>
        <v xml:space="preserve"> </v>
      </c>
      <c r="U56" s="177" t="str">
        <f>IFERROR(VLOOKUP(Women[[#This Row],[TS ZH W 02.07.22 Rang]],$AR$15:$AS$72,2,0)*U$5," ")</f>
        <v xml:space="preserve"> </v>
      </c>
      <c r="V56" s="128" t="str">
        <f>IFERROR(VLOOKUP(Women[[#This Row],[SM BE O/A 09.07.22 Rang]],$AU$15:$AV$72,2,0)*V54," ")</f>
        <v xml:space="preserve"> </v>
      </c>
      <c r="W56" s="128" t="str">
        <f>IFERROR(VLOOKUP(Women[[#This Row],[SM BE O/B 09.07.22 Rang]],$AU$15:$AV$72,2,0)*$W$5," ")</f>
        <v xml:space="preserve"> </v>
      </c>
      <c r="X56" s="177">
        <f>IFERROR(VLOOKUP(Women[[#This Row],[SM BE W 09.07.22 Rang]],$AR$15:$AS$72,2,0)*X$5," ")</f>
        <v>26.4</v>
      </c>
      <c r="Y56" s="11">
        <v>0</v>
      </c>
      <c r="Z56" s="11">
        <v>0</v>
      </c>
      <c r="AA56" s="11">
        <v>0</v>
      </c>
      <c r="AB56" s="131"/>
      <c r="AC56" s="129"/>
      <c r="AD56" s="129">
        <v>16</v>
      </c>
      <c r="AE56" s="131"/>
      <c r="AF56" s="129"/>
      <c r="AG56" s="131"/>
      <c r="AH56" s="129"/>
      <c r="AI56" s="131"/>
      <c r="AJ56" s="129"/>
      <c r="AK56" s="129"/>
      <c r="AL56" s="131"/>
      <c r="AM56" s="131"/>
      <c r="AN56" s="129">
        <v>23</v>
      </c>
      <c r="AO56" s="16"/>
      <c r="AP56" s="16"/>
      <c r="AQ56" s="16"/>
      <c r="AR56" s="47">
        <v>41</v>
      </c>
      <c r="AS56" s="49">
        <v>10</v>
      </c>
      <c r="AT56" s="16"/>
      <c r="AU56" s="49">
        <v>41</v>
      </c>
      <c r="AV56" s="49">
        <v>20</v>
      </c>
      <c r="AW56" s="16"/>
    </row>
    <row r="57" spans="1:53" s="4" customFormat="1" x14ac:dyDescent="0.2">
      <c r="A57" s="112">
        <v>71</v>
      </c>
      <c r="B57" s="17">
        <f>IF(Women[[#This Row],[PR Rang beim letzten Turnier]]&gt;Women[[#This Row],[PR Rang]],1,IF(Women[[#This Row],[PR Rang]]=Women[[#This Row],[PR Rang beim letzten Turnier]],0,-1))</f>
        <v>1</v>
      </c>
      <c r="C57" s="112">
        <f>RANK(Women[[#This Row],[PR Punkte]],Women[PR Punkte],0)</f>
        <v>50</v>
      </c>
      <c r="D57" s="13" t="s">
        <v>476</v>
      </c>
      <c r="E57" s="11" t="s">
        <v>8</v>
      </c>
      <c r="F57" s="109">
        <f>SUM(Women[[#This Row],[PR 1]:[PR 3]])</f>
        <v>60.8</v>
      </c>
      <c r="G57" s="109">
        <f>LARGE(Women[[#This Row],[TS SH O 22.02.22]:[PR3]],1)</f>
        <v>34.4</v>
      </c>
      <c r="H57" s="109">
        <f>LARGE(Women[[#This Row],[TS SH O 22.02.22]:[PR3]],2)</f>
        <v>26.4</v>
      </c>
      <c r="I57" s="109">
        <f>LARGE(Women[[#This Row],[TS SH O 22.02.22]:[PR3]],3)</f>
        <v>0</v>
      </c>
      <c r="J57" s="11">
        <f>RANK(K57,$K$7:$K$108,0)</f>
        <v>50</v>
      </c>
      <c r="K57" s="109">
        <f>SUM(L57:AA57)</f>
        <v>60.8</v>
      </c>
      <c r="L57" s="128" t="str">
        <f>IFERROR(VLOOKUP(Women[[#This Row],[TS SH O 22.02.22 Rang]],$AU$15:$AV$72,2,0)*L$5," ")</f>
        <v xml:space="preserve"> </v>
      </c>
      <c r="M57" s="109" t="str">
        <f>IFERROR(VLOOKUP(Women[[#This Row],[TS SH W 22.02.22 Rang]],$AR$15:$AS$72,2,0)*M$5," ")</f>
        <v xml:space="preserve"> </v>
      </c>
      <c r="N57" s="109">
        <f>IFERROR(VLOOKUP(Women[[#This Row],[TS LU W 12.03.22 Rang]],$AR$15:$AS$72,2,0)*N$5," ")</f>
        <v>34.4</v>
      </c>
      <c r="O57" s="128" t="str">
        <f>IFERROR(VLOOKUP(Women[[#This Row],[TS SH O 23.04.22 Rang]],$AU$15:$AV$72,2,0)*O$5," ")</f>
        <v xml:space="preserve"> </v>
      </c>
      <c r="P57" s="177" t="str">
        <f>IFERROR(VLOOKUP(Women[[#This Row],[TS LA W 08.05.22 Rang]],$AR$15:$AS$72,2,0)*P$5," ")</f>
        <v xml:space="preserve"> </v>
      </c>
      <c r="Q57" s="128" t="str">
        <f>IFERROR(VLOOKUP(Women[[#This Row],[TS SG O 25.05.22 Rang]],$AU$15:$AV$72,2,0)*Q$5," ")</f>
        <v xml:space="preserve"> </v>
      </c>
      <c r="R57" s="177" t="str">
        <f>IFERROR(VLOOKUP(Women[[#This Row],[TS SG W 25.05.22 Rang]],$AR$15:$AS$72,2,0)*R$5," ")</f>
        <v xml:space="preserve"> </v>
      </c>
      <c r="S57" s="128" t="str">
        <f>IFERROR(VLOOKUP(Women[[#This Row],[TS SH O 25.06.22 Rang]],$AU$15:$AV$72,2,0)*$S$5," ")</f>
        <v xml:space="preserve"> </v>
      </c>
      <c r="T57" s="177" t="str">
        <f>IFERROR(VLOOKUP(Women[[#This Row],[TS SH W 25.06.22 Rang]],$AR$15:$AS$72,2,0)*T$5," ")</f>
        <v xml:space="preserve"> </v>
      </c>
      <c r="U57" s="177" t="str">
        <f>IFERROR(VLOOKUP(Women[[#This Row],[TS ZH W 02.07.22 Rang]],$AR$15:$AS$72,2,0)*U$5," ")</f>
        <v xml:space="preserve"> </v>
      </c>
      <c r="V57" s="128" t="str">
        <f>IFERROR(VLOOKUP(Women[[#This Row],[SM BE O/A 09.07.22 Rang]],$AU$15:$AV$72,2,0)*V55," ")</f>
        <v xml:space="preserve"> </v>
      </c>
      <c r="W57" s="128" t="str">
        <f>IFERROR(VLOOKUP(Women[[#This Row],[SM BE O/B 09.07.22 Rang]],$AU$15:$AV$72,2,0)*$W$5," ")</f>
        <v xml:space="preserve"> </v>
      </c>
      <c r="X57" s="177">
        <f>IFERROR(VLOOKUP(Women[[#This Row],[SM BE W 09.07.22 Rang]],$AR$15:$AS$72,2,0)*X$5," ")</f>
        <v>26.4</v>
      </c>
      <c r="Y57" s="11">
        <v>0</v>
      </c>
      <c r="Z57" s="11">
        <v>0</v>
      </c>
      <c r="AA57" s="11">
        <v>0</v>
      </c>
      <c r="AB57" s="131"/>
      <c r="AC57" s="129"/>
      <c r="AD57" s="129">
        <v>16</v>
      </c>
      <c r="AE57" s="131"/>
      <c r="AF57" s="129"/>
      <c r="AG57" s="131"/>
      <c r="AH57" s="129"/>
      <c r="AI57" s="131"/>
      <c r="AJ57" s="129"/>
      <c r="AK57" s="129"/>
      <c r="AL57" s="131"/>
      <c r="AM57" s="131"/>
      <c r="AN57" s="129">
        <v>20</v>
      </c>
      <c r="AO57" s="41"/>
      <c r="AP57" s="41"/>
      <c r="AQ57" s="41"/>
      <c r="AR57" s="47">
        <v>42</v>
      </c>
      <c r="AS57" s="49">
        <v>10</v>
      </c>
      <c r="AT57" s="16"/>
      <c r="AU57" s="50">
        <v>42</v>
      </c>
      <c r="AV57" s="50">
        <v>20</v>
      </c>
      <c r="AW57" s="41"/>
    </row>
    <row r="58" spans="1:53" s="4" customFormat="1" x14ac:dyDescent="0.2">
      <c r="A58" s="112">
        <v>51</v>
      </c>
      <c r="B58" s="17">
        <f>IF(Women[[#This Row],[PR Rang beim letzten Turnier]]&gt;Women[[#This Row],[PR Rang]],1,IF(Women[[#This Row],[PR Rang]]=Women[[#This Row],[PR Rang beim letzten Turnier]],0,-1))</f>
        <v>-1</v>
      </c>
      <c r="C58" s="112">
        <f>RANK(Women[[#This Row],[PR Punkte]],Women[PR Punkte],0)</f>
        <v>52</v>
      </c>
      <c r="D58" s="9" t="s">
        <v>350</v>
      </c>
      <c r="E58" s="9" t="s">
        <v>0</v>
      </c>
      <c r="F58" s="109">
        <f>SUM(Women[[#This Row],[PR 1]:[PR 3]])</f>
        <v>59.2</v>
      </c>
      <c r="G58" s="109">
        <f>LARGE(Women[[#This Row],[TS SH O 22.02.22]:[PR3]],1)</f>
        <v>59.2</v>
      </c>
      <c r="H58" s="109">
        <f>LARGE(Women[[#This Row],[TS SH O 22.02.22]:[PR3]],2)</f>
        <v>0</v>
      </c>
      <c r="I58" s="109">
        <f>LARGE(Women[[#This Row],[TS SH O 22.02.22]:[PR3]],3)</f>
        <v>0</v>
      </c>
      <c r="J58" s="9">
        <f>RANK(K58,$K$7:$K$108,0)</f>
        <v>52</v>
      </c>
      <c r="K58" s="109">
        <f>SUM(L58:AA58)</f>
        <v>59.2</v>
      </c>
      <c r="L58" s="128" t="str">
        <f>IFERROR(VLOOKUP(Women[[#This Row],[TS SH O 22.02.22 Rang]],$AU$15:$AV$72,2,0)*L$5," ")</f>
        <v xml:space="preserve"> </v>
      </c>
      <c r="M58" s="109" t="str">
        <f>IFERROR(VLOOKUP(Women[[#This Row],[TS SH W 22.02.22 Rang]],$AR$15:$AS$72,2,0)*M$5," ")</f>
        <v xml:space="preserve"> </v>
      </c>
      <c r="N58" s="109" t="str">
        <f>IFERROR(VLOOKUP(Women[[#This Row],[TS LU W 12.03.22 Rang]],$AR$15:$AS$72,2,0)*N$5," ")</f>
        <v xml:space="preserve"> </v>
      </c>
      <c r="O58" s="128" t="str">
        <f>IFERROR(VLOOKUP(Women[[#This Row],[TS SH O 23.04.22 Rang]],$AU$15:$AV$72,2,0)*O$5," ")</f>
        <v xml:space="preserve"> </v>
      </c>
      <c r="P58" s="177">
        <f>IFERROR(VLOOKUP(Women[[#This Row],[TS LA W 08.05.22 Rang]],$AR$15:$AS$72,2,0)*P$5," ")</f>
        <v>59.2</v>
      </c>
      <c r="Q58" s="128" t="str">
        <f>IFERROR(VLOOKUP(Women[[#This Row],[TS SG O 25.05.22 Rang]],$AU$15:$AV$72,2,0)*Q$5," ")</f>
        <v xml:space="preserve"> </v>
      </c>
      <c r="R58" s="177" t="str">
        <f>IFERROR(VLOOKUP(Women[[#This Row],[TS SG W 25.05.22 Rang]],$AR$15:$AS$72,2,0)*R$5," ")</f>
        <v xml:space="preserve"> </v>
      </c>
      <c r="S58" s="128" t="str">
        <f>IFERROR(VLOOKUP(Women[[#This Row],[TS SH O 25.06.22 Rang]],$AU$15:$AV$72,2,0)*$S$5," ")</f>
        <v xml:space="preserve"> </v>
      </c>
      <c r="T58" s="177" t="str">
        <f>IFERROR(VLOOKUP(Women[[#This Row],[TS SH W 25.06.22 Rang]],$AR$15:$AS$72,2,0)*T$5," ")</f>
        <v xml:space="preserve"> </v>
      </c>
      <c r="U58" s="177" t="str">
        <f>IFERROR(VLOOKUP(Women[[#This Row],[TS ZH W 02.07.22 Rang]],$AR$15:$AS$72,2,0)*U$5," ")</f>
        <v xml:space="preserve"> </v>
      </c>
      <c r="V58" s="128" t="str">
        <f>IFERROR(VLOOKUP(Women[[#This Row],[SM BE O/A 09.07.22 Rang]],$AU$15:$AV$72,2,0)*V56," ")</f>
        <v xml:space="preserve"> </v>
      </c>
      <c r="W58" s="128" t="str">
        <f>IFERROR(VLOOKUP(Women[[#This Row],[SM BE O/B 09.07.22 Rang]],$AU$15:$AV$72,2,0)*$W$5," ")</f>
        <v xml:space="preserve"> </v>
      </c>
      <c r="X58" s="177" t="str">
        <f>IFERROR(VLOOKUP(Women[[#This Row],[SM BE W 09.07.22 Rang]],$AR$15:$AS$72,2,0)*X$5," ")</f>
        <v xml:space="preserve"> </v>
      </c>
      <c r="Y58" s="11">
        <v>0</v>
      </c>
      <c r="Z58" s="11">
        <v>0</v>
      </c>
      <c r="AA58" s="11">
        <v>0</v>
      </c>
      <c r="AB58" s="131"/>
      <c r="AC58" s="129"/>
      <c r="AD58" s="129"/>
      <c r="AE58" s="131"/>
      <c r="AF58" s="129">
        <v>5</v>
      </c>
      <c r="AG58" s="131"/>
      <c r="AH58" s="129"/>
      <c r="AI58" s="131"/>
      <c r="AJ58" s="129"/>
      <c r="AK58" s="129"/>
      <c r="AL58" s="131"/>
      <c r="AM58" s="131"/>
      <c r="AN58" s="129"/>
      <c r="AO58" s="41"/>
      <c r="AP58" s="41"/>
      <c r="AQ58" s="41"/>
      <c r="AR58" s="47">
        <v>43</v>
      </c>
      <c r="AS58" s="49">
        <v>10</v>
      </c>
      <c r="AT58" s="16"/>
      <c r="AU58" s="50">
        <v>43</v>
      </c>
      <c r="AV58" s="50">
        <v>20</v>
      </c>
      <c r="AW58" s="41"/>
    </row>
    <row r="59" spans="1:53" s="4" customFormat="1" x14ac:dyDescent="0.2">
      <c r="A59" s="225">
        <v>85</v>
      </c>
      <c r="B59" s="198">
        <f>IF(Women[[#This Row],[PR Rang beim letzten Turnier]]&gt;Women[[#This Row],[PR Rang]],1,IF(Women[[#This Row],[PR Rang]]=Women[[#This Row],[PR Rang beim letzten Turnier]],0,-1))</f>
        <v>1</v>
      </c>
      <c r="C59" s="225">
        <f>RANK(Women[[#This Row],[PR Punkte]],Women[PR Punkte],0)</f>
        <v>53</v>
      </c>
      <c r="D59" s="160" t="s">
        <v>598</v>
      </c>
      <c r="E59" t="s">
        <v>10</v>
      </c>
      <c r="F59" s="109">
        <f>SUM(Women[[#This Row],[PR 1]:[PR 3]])</f>
        <v>56.8</v>
      </c>
      <c r="G59" s="109">
        <f>LARGE(Women[[#This Row],[TS SH O 22.02.22]:[PR3]],1)</f>
        <v>30.4</v>
      </c>
      <c r="H59" s="109">
        <f>LARGE(Women[[#This Row],[TS SH O 22.02.22]:[PR3]],2)</f>
        <v>26.4</v>
      </c>
      <c r="I59" s="109">
        <f>LARGE(Women[[#This Row],[TS SH O 22.02.22]:[PR3]],3)</f>
        <v>0</v>
      </c>
      <c r="J59" s="86">
        <f>RANK(K59,$K$7:$K$108,0)</f>
        <v>53</v>
      </c>
      <c r="K59" s="109">
        <f>SUM(L59:AA59)</f>
        <v>56.8</v>
      </c>
      <c r="L59" s="128" t="str">
        <f>IFERROR(VLOOKUP(Women[[#This Row],[TS SH O 22.02.22 Rang]],$AU$15:$AV$72,2,0)*L$5," ")</f>
        <v xml:space="preserve"> </v>
      </c>
      <c r="M59" s="177" t="str">
        <f>IFERROR(VLOOKUP(Women[[#This Row],[TS SH W 22.02.22 Rang]],$AR$15:$AS$72,2,0)*M$5," ")</f>
        <v xml:space="preserve"> </v>
      </c>
      <c r="N59" s="177" t="str">
        <f>IFERROR(VLOOKUP(Women[[#This Row],[TS LU W 12.03.22 Rang]],$AR$15:$AS$72,2,0)*N$5," ")</f>
        <v xml:space="preserve"> </v>
      </c>
      <c r="O59" s="128" t="str">
        <f>IFERROR(VLOOKUP(Women[[#This Row],[TS SH O 23.04.22 Rang]],$AU$15:$AV$72,2,0)*O$5," ")</f>
        <v xml:space="preserve"> </v>
      </c>
      <c r="P59" s="177" t="str">
        <f>IFERROR(VLOOKUP(Women[[#This Row],[TS LA W 08.05.22 Rang]],$AR$15:$AS$72,2,0)*P$5," ")</f>
        <v xml:space="preserve"> </v>
      </c>
      <c r="Q59" s="128" t="str">
        <f>IFERROR(VLOOKUP(Women[[#This Row],[TS SG O 25.05.22 Rang]],$AU$15:$AV$72,2,0)*Q$5," ")</f>
        <v xml:space="preserve"> </v>
      </c>
      <c r="R59" s="177" t="str">
        <f>IFERROR(VLOOKUP(Women[[#This Row],[TS SG W 25.05.22 Rang]],$AR$15:$AS$72,2,0)*R$5," ")</f>
        <v xml:space="preserve"> </v>
      </c>
      <c r="S59" s="128" t="str">
        <f>IFERROR(VLOOKUP(Women[[#This Row],[TS SH O 25.06.22 Rang]],$AU$15:$AV$72,2,0)*$S$5," ")</f>
        <v xml:space="preserve"> </v>
      </c>
      <c r="T59" s="177">
        <f>IFERROR(VLOOKUP(Women[[#This Row],[TS SH W 25.06.22 Rang]],$AR$15:$AS$72,2,0)*T$5," ")</f>
        <v>30.4</v>
      </c>
      <c r="U59" s="177" t="str">
        <f>IFERROR(VLOOKUP(Women[[#This Row],[TS ZH W 02.07.22 Rang]],$AR$15:$AS$72,2,0)*U$5," ")</f>
        <v xml:space="preserve"> </v>
      </c>
      <c r="V59" s="128" t="str">
        <f>IFERROR(VLOOKUP(Women[[#This Row],[SM BE O/A 09.07.22 Rang]],$AU$15:$AV$72,2,0)*V57," ")</f>
        <v xml:space="preserve"> </v>
      </c>
      <c r="W59" s="128" t="str">
        <f>IFERROR(VLOOKUP(Women[[#This Row],[SM BE O/B 09.07.22 Rang]],$AU$15:$AV$72,2,0)*$W$5," ")</f>
        <v xml:space="preserve"> </v>
      </c>
      <c r="X59" s="177">
        <f>IFERROR(VLOOKUP(Women[[#This Row],[SM BE W 09.07.22 Rang]],$AR$15:$AS$72,2,0)*X$5," ")</f>
        <v>26.4</v>
      </c>
      <c r="Y59" s="244">
        <v>0</v>
      </c>
      <c r="Z59" s="244">
        <v>0</v>
      </c>
      <c r="AA59" s="244">
        <v>0</v>
      </c>
      <c r="AB59" s="131"/>
      <c r="AC59" s="129"/>
      <c r="AD59" s="129"/>
      <c r="AE59" s="131"/>
      <c r="AF59" s="129"/>
      <c r="AG59" s="131"/>
      <c r="AH59" s="129"/>
      <c r="AI59" s="131"/>
      <c r="AJ59" s="191">
        <v>10</v>
      </c>
      <c r="AK59" s="191"/>
      <c r="AL59" s="282"/>
      <c r="AM59" s="282"/>
      <c r="AN59" s="191">
        <v>22</v>
      </c>
      <c r="AO59" s="16"/>
      <c r="AP59" s="16"/>
      <c r="AQ59" s="16"/>
      <c r="AR59" s="47">
        <v>44</v>
      </c>
      <c r="AS59" s="49">
        <v>10</v>
      </c>
      <c r="AT59" s="16"/>
      <c r="AU59" s="49">
        <v>44</v>
      </c>
      <c r="AV59" s="49">
        <v>20</v>
      </c>
      <c r="AW59" s="16"/>
    </row>
    <row r="60" spans="1:53" s="4" customFormat="1" x14ac:dyDescent="0.2">
      <c r="A60" s="112">
        <v>54</v>
      </c>
      <c r="B60" s="17">
        <f>IF(Women[[#This Row],[PR Rang beim letzten Turnier]]&gt;Women[[#This Row],[PR Rang]],1,IF(Women[[#This Row],[PR Rang]]=Women[[#This Row],[PR Rang beim letzten Turnier]],0,-1))</f>
        <v>0</v>
      </c>
      <c r="C60" s="112">
        <f>RANK(Women[[#This Row],[PR Punkte]],Women[PR Punkte],0)</f>
        <v>54</v>
      </c>
      <c r="D60" s="9" t="s">
        <v>432</v>
      </c>
      <c r="E60" s="9" t="s">
        <v>16</v>
      </c>
      <c r="F60" s="109">
        <f>SUM(Women[[#This Row],[PR 1]:[PR 3]])</f>
        <v>45.6</v>
      </c>
      <c r="G60" s="109">
        <f>LARGE(Women[[#This Row],[TS SH O 22.02.22]:[PR3]],1)</f>
        <v>45.6</v>
      </c>
      <c r="H60" s="109">
        <f>LARGE(Women[[#This Row],[TS SH O 22.02.22]:[PR3]],2)</f>
        <v>0</v>
      </c>
      <c r="I60" s="109">
        <f>LARGE(Women[[#This Row],[TS SH O 22.02.22]:[PR3]],3)</f>
        <v>0</v>
      </c>
      <c r="J60" s="9">
        <f>RANK(K60,$K$7:$K$108,0)</f>
        <v>54</v>
      </c>
      <c r="K60" s="109">
        <f>SUM(L60:AA60)</f>
        <v>45.6</v>
      </c>
      <c r="L60" s="128" t="str">
        <f>IFERROR(VLOOKUP(Women[[#This Row],[TS SH O 22.02.22 Rang]],$AU$15:$AV$72,2,0)*L$5," ")</f>
        <v xml:space="preserve"> </v>
      </c>
      <c r="M60" s="109">
        <f>IFERROR(VLOOKUP(Women[[#This Row],[TS SH W 22.02.22 Rang]],$AR$15:$AS$72,2,0)*M$5," ")</f>
        <v>45.6</v>
      </c>
      <c r="N60" s="109" t="str">
        <f>IFERROR(VLOOKUP(Women[[#This Row],[TS LU W 12.03.22 Rang]],$AR$15:$AS$72,2,0)*N$5," ")</f>
        <v xml:space="preserve"> </v>
      </c>
      <c r="O60" s="128" t="str">
        <f>IFERROR(VLOOKUP(Women[[#This Row],[TS SH O 23.04.22 Rang]],$AU$15:$AV$72,2,0)*O$5," ")</f>
        <v xml:space="preserve"> </v>
      </c>
      <c r="P60" s="177" t="str">
        <f>IFERROR(VLOOKUP(Women[[#This Row],[TS LA W 08.05.22 Rang]],$AR$15:$AS$72,2,0)*P$5," ")</f>
        <v xml:space="preserve"> </v>
      </c>
      <c r="Q60" s="128" t="str">
        <f>IFERROR(VLOOKUP(Women[[#This Row],[TS SG O 25.05.22 Rang]],$AU$15:$AV$72,2,0)*Q$5," ")</f>
        <v xml:space="preserve"> </v>
      </c>
      <c r="R60" s="177" t="str">
        <f>IFERROR(VLOOKUP(Women[[#This Row],[TS SG W 25.05.22 Rang]],$AR$15:$AS$72,2,0)*R$5," ")</f>
        <v xml:space="preserve"> </v>
      </c>
      <c r="S60" s="128" t="str">
        <f>IFERROR(VLOOKUP(Women[[#This Row],[TS SH O 25.06.22 Rang]],$AU$15:$AV$72,2,0)*$S$5," ")</f>
        <v xml:space="preserve"> </v>
      </c>
      <c r="T60" s="177" t="str">
        <f>IFERROR(VLOOKUP(Women[[#This Row],[TS SH W 25.06.22 Rang]],$AR$15:$AS$72,2,0)*T$5," ")</f>
        <v xml:space="preserve"> </v>
      </c>
      <c r="U60" s="177" t="str">
        <f>IFERROR(VLOOKUP(Women[[#This Row],[TS ZH W 02.07.22 Rang]],$AR$15:$AS$72,2,0)*U$5," ")</f>
        <v xml:space="preserve"> </v>
      </c>
      <c r="V60" s="128" t="str">
        <f>IFERROR(VLOOKUP(Women[[#This Row],[SM BE O/A 09.07.22 Rang]],$AU$15:$AV$72,2,0)*V58," ")</f>
        <v xml:space="preserve"> </v>
      </c>
      <c r="W60" s="128" t="str">
        <f>IFERROR(VLOOKUP(Women[[#This Row],[SM BE O/B 09.07.22 Rang]],$AU$15:$AV$72,2,0)*$W$5," ")</f>
        <v xml:space="preserve"> </v>
      </c>
      <c r="X60" s="177" t="str">
        <f>IFERROR(VLOOKUP(Women[[#This Row],[SM BE W 09.07.22 Rang]],$AR$15:$AS$72,2,0)*X$5," ")</f>
        <v xml:space="preserve"> </v>
      </c>
      <c r="Y60" s="11">
        <v>0</v>
      </c>
      <c r="Z60" s="11">
        <v>0</v>
      </c>
      <c r="AA60" s="11">
        <v>0</v>
      </c>
      <c r="AB60" s="131"/>
      <c r="AC60" s="129">
        <v>7</v>
      </c>
      <c r="AD60" s="129"/>
      <c r="AE60" s="131"/>
      <c r="AF60" s="129"/>
      <c r="AG60" s="131"/>
      <c r="AH60" s="129"/>
      <c r="AI60" s="131"/>
      <c r="AJ60" s="129"/>
      <c r="AK60" s="129"/>
      <c r="AL60" s="131"/>
      <c r="AM60" s="131"/>
      <c r="AN60" s="129"/>
      <c r="AO60" s="16"/>
      <c r="AP60" s="16"/>
      <c r="AQ60" s="16"/>
      <c r="AR60" s="47">
        <v>46</v>
      </c>
      <c r="AS60" s="49">
        <v>10</v>
      </c>
      <c r="AT60" s="16"/>
      <c r="AU60" s="49">
        <v>46</v>
      </c>
      <c r="AV60" s="49">
        <v>20</v>
      </c>
      <c r="AW60" s="16"/>
    </row>
    <row r="61" spans="1:53" s="4" customFormat="1" x14ac:dyDescent="0.2">
      <c r="A61" s="225">
        <v>90</v>
      </c>
      <c r="B61" s="198">
        <f>IF(Women[[#This Row],[PR Rang beim letzten Turnier]]&gt;Women[[#This Row],[PR Rang]],1,IF(Women[[#This Row],[PR Rang]]=Women[[#This Row],[PR Rang beim letzten Turnier]],0,-1))</f>
        <v>1</v>
      </c>
      <c r="C61" s="225">
        <f>RANK(Women[[#This Row],[PR Punkte]],Women[PR Punkte],0)</f>
        <v>55</v>
      </c>
      <c r="D61" s="267" t="s">
        <v>594</v>
      </c>
      <c r="E61" s="31" t="s">
        <v>10</v>
      </c>
      <c r="F61" s="109">
        <f>SUM(Women[[#This Row],[PR 1]:[PR 3]])</f>
        <v>44.4</v>
      </c>
      <c r="G61" s="109">
        <f>LARGE(Women[[#This Row],[TS SH O 22.02.22]:[PR3]],1)</f>
        <v>44.4</v>
      </c>
      <c r="H61" s="109">
        <f>LARGE(Women[[#This Row],[TS SH O 22.02.22]:[PR3]],2)</f>
        <v>0</v>
      </c>
      <c r="I61" s="109">
        <f>LARGE(Women[[#This Row],[TS SH O 22.02.22]:[PR3]],3)</f>
        <v>0</v>
      </c>
      <c r="J61" s="86">
        <f>RANK(K61,$K$7:$K$108,0)</f>
        <v>55</v>
      </c>
      <c r="K61" s="109">
        <f>SUM(L61:AA61)</f>
        <v>44.4</v>
      </c>
      <c r="L61" s="128" t="str">
        <f>IFERROR(VLOOKUP(Women[[#This Row],[TS SH O 22.02.22 Rang]],$AU$15:$AV$72,2,0)*L$5," ")</f>
        <v xml:space="preserve"> </v>
      </c>
      <c r="M61" s="177" t="str">
        <f>IFERROR(VLOOKUP(Women[[#This Row],[TS SH W 22.02.22 Rang]],$AR$15:$AS$72,2,0)*M$5," ")</f>
        <v xml:space="preserve"> </v>
      </c>
      <c r="N61" s="177" t="str">
        <f>IFERROR(VLOOKUP(Women[[#This Row],[TS LU W 12.03.22 Rang]],$AR$15:$AS$72,2,0)*N$5," ")</f>
        <v xml:space="preserve"> </v>
      </c>
      <c r="O61" s="128" t="str">
        <f>IFERROR(VLOOKUP(Women[[#This Row],[TS SH O 23.04.22 Rang]],$AU$15:$AV$72,2,0)*O$5," ")</f>
        <v xml:space="preserve"> </v>
      </c>
      <c r="P61" s="177" t="str">
        <f>IFERROR(VLOOKUP(Women[[#This Row],[TS LA W 08.05.22 Rang]],$AR$15:$AS$72,2,0)*P$5," ")</f>
        <v xml:space="preserve"> </v>
      </c>
      <c r="Q61" s="128" t="str">
        <f>IFERROR(VLOOKUP(Women[[#This Row],[TS SG O 25.05.22 Rang]],$AU$15:$AV$72,2,0)*Q$5," ")</f>
        <v xml:space="preserve"> </v>
      </c>
      <c r="R61" s="177" t="str">
        <f>IFERROR(VLOOKUP(Women[[#This Row],[TS SG W 25.05.22 Rang]],$AR$15:$AS$72,2,0)*R$5," ")</f>
        <v xml:space="preserve"> </v>
      </c>
      <c r="S61" s="128">
        <f>IFERROR(VLOOKUP(Women[[#This Row],[TS SH O 25.06.22 Rang]],$AU$15:$AV$72,2,0)*$S$5," ")</f>
        <v>44.4</v>
      </c>
      <c r="T61" s="177" t="str">
        <f>IFERROR(VLOOKUP(Women[[#This Row],[TS SH W 25.06.22 Rang]],$AR$15:$AS$72,2,0)*T$5," ")</f>
        <v xml:space="preserve"> </v>
      </c>
      <c r="U61" s="177" t="str">
        <f>IFERROR(VLOOKUP(Women[[#This Row],[TS ZH W 02.07.22 Rang]],$AR$15:$AS$72,2,0)*U$5," ")</f>
        <v xml:space="preserve"> </v>
      </c>
      <c r="V61" s="128" t="str">
        <f>IFERROR(VLOOKUP(Women[[#This Row],[SM BE O/A 09.07.22 Rang]],$AU$15:$AV$72,2,0)*V59," ")</f>
        <v xml:space="preserve"> </v>
      </c>
      <c r="W61" s="128" t="str">
        <f>IFERROR(VLOOKUP(Women[[#This Row],[SM BE O/B 09.07.22 Rang]],$AU$15:$AV$72,2,0)*$W$5," ")</f>
        <v xml:space="preserve"> </v>
      </c>
      <c r="X61" s="177" t="str">
        <f>IFERROR(VLOOKUP(Women[[#This Row],[SM BE W 09.07.22 Rang]],$AR$15:$AS$72,2,0)*X$5," ")</f>
        <v xml:space="preserve"> </v>
      </c>
      <c r="Y61" s="244">
        <v>0</v>
      </c>
      <c r="Z61" s="244">
        <v>0</v>
      </c>
      <c r="AA61" s="244">
        <v>0</v>
      </c>
      <c r="AB61" s="131"/>
      <c r="AC61" s="129"/>
      <c r="AD61" s="129"/>
      <c r="AE61" s="131"/>
      <c r="AF61" s="129"/>
      <c r="AG61" s="131"/>
      <c r="AH61" s="129"/>
      <c r="AI61" s="131">
        <v>24</v>
      </c>
      <c r="AJ61" s="129"/>
      <c r="AK61" s="129"/>
      <c r="AL61" s="131"/>
      <c r="AM61" s="131"/>
      <c r="AN61" s="129"/>
      <c r="AO61" s="16"/>
      <c r="AP61" s="16"/>
      <c r="AQ61" s="16"/>
      <c r="AR61" s="47">
        <v>47</v>
      </c>
      <c r="AS61" s="49">
        <v>10</v>
      </c>
      <c r="AT61" s="16"/>
      <c r="AU61" s="49">
        <v>47</v>
      </c>
      <c r="AV61" s="49">
        <v>20</v>
      </c>
      <c r="AW61" s="16"/>
    </row>
    <row r="62" spans="1:53" s="4" customFormat="1" x14ac:dyDescent="0.2">
      <c r="A62" s="112">
        <v>36</v>
      </c>
      <c r="B62" s="17">
        <f>IF(Women[[#This Row],[PR Rang beim letzten Turnier]]&gt;Women[[#This Row],[PR Rang]],1,IF(Women[[#This Row],[PR Rang]]=Women[[#This Row],[PR Rang beim letzten Turnier]],0,-1))</f>
        <v>-1</v>
      </c>
      <c r="C62" s="112">
        <f>RANK(Women[[#This Row],[PR Punkte]],Women[PR Punkte],0)</f>
        <v>56</v>
      </c>
      <c r="D62" s="11" t="s">
        <v>44</v>
      </c>
      <c r="E62" s="9" t="s">
        <v>13</v>
      </c>
      <c r="F62" s="109">
        <f>SUM(Women[[#This Row],[PR 1]:[PR 3]])</f>
        <v>43</v>
      </c>
      <c r="G62" s="109">
        <f>LARGE(Women[[#This Row],[TS SH O 22.02.22]:[PR3]],1)</f>
        <v>43</v>
      </c>
      <c r="H62" s="109">
        <f>LARGE(Women[[#This Row],[TS SH O 22.02.22]:[PR3]],2)</f>
        <v>0</v>
      </c>
      <c r="I62" s="109">
        <f>LARGE(Women[[#This Row],[TS SH O 22.02.22]:[PR3]],3)</f>
        <v>0</v>
      </c>
      <c r="J62" s="9">
        <f>RANK(K62,$K$7:$K$108,0)</f>
        <v>56</v>
      </c>
      <c r="K62" s="109">
        <f>SUM(L62:AA62)</f>
        <v>43</v>
      </c>
      <c r="L62" s="128" t="str">
        <f>IFERROR(VLOOKUP(Women[[#This Row],[TS SH O 22.02.22 Rang]],$AU$15:$AV$72,2,0)*L$5," ")</f>
        <v xml:space="preserve"> </v>
      </c>
      <c r="M62" s="109" t="str">
        <f>IFERROR(VLOOKUP(Women[[#This Row],[TS SH W 22.02.22 Rang]],$AR$15:$AS$72,2,0)*M$5," ")</f>
        <v xml:space="preserve"> </v>
      </c>
      <c r="N62" s="109">
        <f>IFERROR(VLOOKUP(Women[[#This Row],[TS LU W 12.03.22 Rang]],$AR$15:$AS$72,2,0)*N$5," ")</f>
        <v>43</v>
      </c>
      <c r="O62" s="128" t="str">
        <f>IFERROR(VLOOKUP(Women[[#This Row],[TS SH O 23.04.22 Rang]],$AU$15:$AV$72,2,0)*O$5," ")</f>
        <v xml:space="preserve"> </v>
      </c>
      <c r="P62" s="177" t="str">
        <f>IFERROR(VLOOKUP(Women[[#This Row],[TS LA W 08.05.22 Rang]],$AR$15:$AS$72,2,0)*P$5," ")</f>
        <v xml:space="preserve"> </v>
      </c>
      <c r="Q62" s="128" t="str">
        <f>IFERROR(VLOOKUP(Women[[#This Row],[TS SG O 25.05.22 Rang]],$AU$15:$AV$72,2,0)*Q$5," ")</f>
        <v xml:space="preserve"> </v>
      </c>
      <c r="R62" s="177" t="str">
        <f>IFERROR(VLOOKUP(Women[[#This Row],[TS SG W 25.05.22 Rang]],$AR$15:$AS$72,2,0)*R$5," ")</f>
        <v xml:space="preserve"> </v>
      </c>
      <c r="S62" s="128" t="str">
        <f>IFERROR(VLOOKUP(Women[[#This Row],[TS SH O 25.06.22 Rang]],$AU$15:$AV$72,2,0)*$S$5," ")</f>
        <v xml:space="preserve"> </v>
      </c>
      <c r="T62" s="177" t="str">
        <f>IFERROR(VLOOKUP(Women[[#This Row],[TS SH W 25.06.22 Rang]],$AR$15:$AS$72,2,0)*T$5," ")</f>
        <v xml:space="preserve"> </v>
      </c>
      <c r="U62" s="177" t="str">
        <f>IFERROR(VLOOKUP(Women[[#This Row],[TS ZH W 02.07.22 Rang]],$AR$15:$AS$72,2,0)*U$5," ")</f>
        <v xml:space="preserve"> </v>
      </c>
      <c r="V62" s="128" t="str">
        <f>IFERROR(VLOOKUP(Women[[#This Row],[SM BE O/A 09.07.22 Rang]],$AU$15:$AV$72,2,0)*V60," ")</f>
        <v xml:space="preserve"> </v>
      </c>
      <c r="W62" s="128" t="str">
        <f>IFERROR(VLOOKUP(Women[[#This Row],[SM BE O/B 09.07.22 Rang]],$AU$15:$AV$72,2,0)*$W$5," ")</f>
        <v xml:space="preserve"> </v>
      </c>
      <c r="X62" s="177" t="str">
        <f>IFERROR(VLOOKUP(Women[[#This Row],[SM BE W 09.07.22 Rang]],$AR$15:$AS$72,2,0)*X$5," ")</f>
        <v xml:space="preserve"> </v>
      </c>
      <c r="Y62" s="11">
        <v>0</v>
      </c>
      <c r="Z62" s="11">
        <v>0</v>
      </c>
      <c r="AA62" s="11">
        <v>0</v>
      </c>
      <c r="AB62" s="131"/>
      <c r="AC62" s="129"/>
      <c r="AD62" s="129">
        <v>8</v>
      </c>
      <c r="AE62" s="131"/>
      <c r="AF62" s="129"/>
      <c r="AG62" s="131"/>
      <c r="AH62" s="129"/>
      <c r="AI62" s="131"/>
      <c r="AJ62" s="129"/>
      <c r="AK62" s="129"/>
      <c r="AL62" s="131"/>
      <c r="AM62" s="131"/>
      <c r="AN62" s="129"/>
      <c r="AO62" s="16"/>
      <c r="AP62" s="16"/>
      <c r="AQ62" s="16"/>
      <c r="AR62" s="47">
        <v>48</v>
      </c>
      <c r="AS62" s="49">
        <v>10</v>
      </c>
      <c r="AT62" s="16"/>
      <c r="AU62" s="49">
        <v>48</v>
      </c>
      <c r="AV62" s="49">
        <v>20</v>
      </c>
      <c r="AW62" s="16"/>
    </row>
    <row r="63" spans="1:53" s="4" customFormat="1" x14ac:dyDescent="0.2">
      <c r="A63" s="112">
        <v>43</v>
      </c>
      <c r="B63" s="17">
        <f>IF(Women[[#This Row],[PR Rang beim letzten Turnier]]&gt;Women[[#This Row],[PR Rang]],1,IF(Women[[#This Row],[PR Rang]]=Women[[#This Row],[PR Rang beim letzten Turnier]],0,-1))</f>
        <v>-1</v>
      </c>
      <c r="C63" s="112">
        <f>RANK(Women[[#This Row],[PR Punkte]],Women[PR Punkte],0)</f>
        <v>57</v>
      </c>
      <c r="D63" s="43" t="s">
        <v>224</v>
      </c>
      <c r="E63" s="11" t="s">
        <v>0</v>
      </c>
      <c r="F63" s="109">
        <f>SUM(Women[[#This Row],[PR 1]:[PR 3]])</f>
        <v>38.5</v>
      </c>
      <c r="G63" s="109">
        <f>LARGE(Women[[#This Row],[TS SH O 22.02.22]:[PR3]],1)</f>
        <v>38.5</v>
      </c>
      <c r="H63" s="109">
        <f>LARGE(Women[[#This Row],[TS SH O 22.02.22]:[PR3]],2)</f>
        <v>0</v>
      </c>
      <c r="I63" s="109">
        <f>LARGE(Women[[#This Row],[TS SH O 22.02.22]:[PR3]],3)</f>
        <v>0</v>
      </c>
      <c r="J63" s="11">
        <f>RANK(K63,$K$7:$K$108,0)</f>
        <v>57</v>
      </c>
      <c r="K63" s="109">
        <f>SUM(L63:AA63)</f>
        <v>38.5</v>
      </c>
      <c r="L63" s="128" t="str">
        <f>IFERROR(VLOOKUP(Women[[#This Row],[TS SH O 22.02.22 Rang]],$AU$15:$AV$72,2,0)*L$5," ")</f>
        <v xml:space="preserve"> </v>
      </c>
      <c r="M63" s="109" t="str">
        <f>IFERROR(VLOOKUP(Women[[#This Row],[TS SH W 22.02.22 Rang]],$AR$15:$AS$72,2,0)*M$5," ")</f>
        <v xml:space="preserve"> </v>
      </c>
      <c r="N63" s="109" t="str">
        <f>IFERROR(VLOOKUP(Women[[#This Row],[TS LU W 12.03.22 Rang]],$AR$15:$AS$72,2,0)*N$5," ")</f>
        <v xml:space="preserve"> </v>
      </c>
      <c r="O63" s="128" t="str">
        <f>IFERROR(VLOOKUP(Women[[#This Row],[TS SH O 23.04.22 Rang]],$AU$15:$AV$72,2,0)*O$5," ")</f>
        <v xml:space="preserve"> </v>
      </c>
      <c r="P63" s="177" t="str">
        <f>IFERROR(VLOOKUP(Women[[#This Row],[TS LA W 08.05.22 Rang]],$AR$15:$AS$72,2,0)*P$5," ")</f>
        <v xml:space="preserve"> </v>
      </c>
      <c r="Q63" s="128" t="str">
        <f>IFERROR(VLOOKUP(Women[[#This Row],[TS SG O 25.05.22 Rang]],$AU$15:$AV$72,2,0)*Q$5," ")</f>
        <v xml:space="preserve"> </v>
      </c>
      <c r="R63" s="177">
        <f>IFERROR(VLOOKUP(Women[[#This Row],[TS SG W 25.05.22 Rang]],$AR$15:$AS$72,2,0)*R$5," ")</f>
        <v>38.5</v>
      </c>
      <c r="S63" s="128" t="str">
        <f>IFERROR(VLOOKUP(Women[[#This Row],[TS SH O 25.06.22 Rang]],$AU$15:$AV$72,2,0)*$S$5," ")</f>
        <v xml:space="preserve"> </v>
      </c>
      <c r="T63" s="177" t="str">
        <f>IFERROR(VLOOKUP(Women[[#This Row],[TS SH W 25.06.22 Rang]],$AR$15:$AS$72,2,0)*T$5," ")</f>
        <v xml:space="preserve"> </v>
      </c>
      <c r="U63" s="177" t="str">
        <f>IFERROR(VLOOKUP(Women[[#This Row],[TS ZH W 02.07.22 Rang]],$AR$15:$AS$72,2,0)*U$5," ")</f>
        <v xml:space="preserve"> </v>
      </c>
      <c r="V63" s="128" t="str">
        <f>IFERROR(VLOOKUP(Women[[#This Row],[SM BE O/A 09.07.22 Rang]],$AU$15:$AV$72,2,0)*V61," ")</f>
        <v xml:space="preserve"> </v>
      </c>
      <c r="W63" s="128" t="str">
        <f>IFERROR(VLOOKUP(Women[[#This Row],[SM BE O/B 09.07.22 Rang]],$AU$15:$AV$72,2,0)*$W$5," ")</f>
        <v xml:space="preserve"> </v>
      </c>
      <c r="X63" s="177" t="str">
        <f>IFERROR(VLOOKUP(Women[[#This Row],[SM BE W 09.07.22 Rang]],$AR$15:$AS$72,2,0)*X$5," ")</f>
        <v xml:space="preserve"> </v>
      </c>
      <c r="Y63" s="11">
        <v>0</v>
      </c>
      <c r="Z63" s="11">
        <v>0</v>
      </c>
      <c r="AA63" s="11">
        <v>0</v>
      </c>
      <c r="AB63" s="131"/>
      <c r="AC63" s="129"/>
      <c r="AD63" s="129"/>
      <c r="AE63" s="131"/>
      <c r="AF63" s="129"/>
      <c r="AG63" s="131"/>
      <c r="AH63" s="129">
        <v>8</v>
      </c>
      <c r="AI63" s="131"/>
      <c r="AJ63" s="129"/>
      <c r="AK63" s="129"/>
      <c r="AL63" s="131"/>
      <c r="AM63" s="131"/>
      <c r="AN63" s="129"/>
      <c r="AO63" s="16"/>
      <c r="AP63" s="16"/>
      <c r="AQ63" s="16"/>
      <c r="AR63" s="47">
        <v>49</v>
      </c>
      <c r="AS63" s="49">
        <v>10</v>
      </c>
      <c r="AT63" s="16"/>
      <c r="AU63" s="49">
        <v>49</v>
      </c>
      <c r="AV63" s="49">
        <v>20</v>
      </c>
      <c r="AW63" s="16"/>
    </row>
    <row r="64" spans="1:53" s="4" customFormat="1" x14ac:dyDescent="0.2">
      <c r="A64" s="112">
        <v>63</v>
      </c>
      <c r="B64" s="17">
        <f>IF(Women[[#This Row],[PR Rang beim letzten Turnier]]&gt;Women[[#This Row],[PR Rang]],1,IF(Women[[#This Row],[PR Rang]]=Women[[#This Row],[PR Rang beim letzten Turnier]],0,-1))</f>
        <v>1</v>
      </c>
      <c r="C64" s="112">
        <f>RANK(Women[[#This Row],[PR Punkte]],Women[PR Punkte],0)</f>
        <v>58</v>
      </c>
      <c r="D64" s="12" t="s">
        <v>433</v>
      </c>
      <c r="E64" s="12" t="s">
        <v>18</v>
      </c>
      <c r="F64" s="109">
        <f>SUM(Women[[#This Row],[PR 1]:[PR 3]])</f>
        <v>38</v>
      </c>
      <c r="G64" s="109">
        <f>LARGE(Women[[#This Row],[TS SH O 22.02.22]:[PR3]],1)</f>
        <v>38</v>
      </c>
      <c r="H64" s="109">
        <f>LARGE(Women[[#This Row],[TS SH O 22.02.22]:[PR3]],2)</f>
        <v>0</v>
      </c>
      <c r="I64" s="109">
        <f>LARGE(Women[[#This Row],[TS SH O 22.02.22]:[PR3]],3)</f>
        <v>0</v>
      </c>
      <c r="J64" s="86">
        <f>RANK(K64,$K$7:$K$108,0)</f>
        <v>58</v>
      </c>
      <c r="K64" s="109">
        <f>SUM(L64:AA64)</f>
        <v>38</v>
      </c>
      <c r="L64" s="128" t="str">
        <f>IFERROR(VLOOKUP(Women[[#This Row],[TS SH O 22.02.22 Rang]],$AU$15:$AV$72,2,0)*L$5," ")</f>
        <v xml:space="preserve"> </v>
      </c>
      <c r="M64" s="109">
        <f>IFERROR(VLOOKUP(Women[[#This Row],[TS SH W 22.02.22 Rang]],$AR$15:$AS$72,2,0)*M$5," ")</f>
        <v>38</v>
      </c>
      <c r="N64" s="109" t="str">
        <f>IFERROR(VLOOKUP(Women[[#This Row],[TS LU W 12.03.22 Rang]],$AR$15:$AS$72,2,0)*N$5," ")</f>
        <v xml:space="preserve"> </v>
      </c>
      <c r="O64" s="128" t="str">
        <f>IFERROR(VLOOKUP(Women[[#This Row],[TS SH O 23.04.22 Rang]],$AU$15:$AV$72,2,0)*O$5," ")</f>
        <v xml:space="preserve"> </v>
      </c>
      <c r="P64" s="177" t="str">
        <f>IFERROR(VLOOKUP(Women[[#This Row],[TS LA W 08.05.22 Rang]],$AR$15:$AS$72,2,0)*P$5," ")</f>
        <v xml:space="preserve"> </v>
      </c>
      <c r="Q64" s="128" t="str">
        <f>IFERROR(VLOOKUP(Women[[#This Row],[TS SG O 25.05.22 Rang]],$AU$15:$AV$72,2,0)*Q$5," ")</f>
        <v xml:space="preserve"> </v>
      </c>
      <c r="R64" s="177" t="str">
        <f>IFERROR(VLOOKUP(Women[[#This Row],[TS SG W 25.05.22 Rang]],$AR$15:$AS$72,2,0)*R$5," ")</f>
        <v xml:space="preserve"> </v>
      </c>
      <c r="S64" s="128" t="str">
        <f>IFERROR(VLOOKUP(Women[[#This Row],[TS SH O 25.06.22 Rang]],$AU$15:$AV$72,2,0)*$S$5," ")</f>
        <v xml:space="preserve"> </v>
      </c>
      <c r="T64" s="177" t="str">
        <f>IFERROR(VLOOKUP(Women[[#This Row],[TS SH W 25.06.22 Rang]],$AR$15:$AS$72,2,0)*T$5," ")</f>
        <v xml:space="preserve"> </v>
      </c>
      <c r="U64" s="177" t="str">
        <f>IFERROR(VLOOKUP(Women[[#This Row],[TS ZH W 02.07.22 Rang]],$AR$15:$AS$72,2,0)*U$5," ")</f>
        <v xml:space="preserve"> </v>
      </c>
      <c r="V64" s="128" t="str">
        <f>IFERROR(VLOOKUP(Women[[#This Row],[SM BE O/A 09.07.22 Rang]],$AU$15:$AV$72,2,0)*V62," ")</f>
        <v xml:space="preserve"> </v>
      </c>
      <c r="W64" s="128" t="str">
        <f>IFERROR(VLOOKUP(Women[[#This Row],[SM BE O/B 09.07.22 Rang]],$AU$15:$AV$72,2,0)*$W$5," ")</f>
        <v xml:space="preserve"> </v>
      </c>
      <c r="X64" s="177" t="str">
        <f>IFERROR(VLOOKUP(Women[[#This Row],[SM BE W 09.07.22 Rang]],$AR$15:$AS$72,2,0)*X$5," ")</f>
        <v xml:space="preserve"> </v>
      </c>
      <c r="Y64" s="11">
        <v>0</v>
      </c>
      <c r="Z64" s="11">
        <v>0</v>
      </c>
      <c r="AA64" s="11">
        <v>0</v>
      </c>
      <c r="AB64" s="131"/>
      <c r="AC64" s="129">
        <v>8</v>
      </c>
      <c r="AD64" s="129"/>
      <c r="AE64" s="131"/>
      <c r="AF64" s="129"/>
      <c r="AG64" s="131"/>
      <c r="AH64" s="129"/>
      <c r="AI64" s="131"/>
      <c r="AJ64" s="129"/>
      <c r="AK64" s="129"/>
      <c r="AL64" s="131"/>
      <c r="AM64" s="131"/>
      <c r="AN64" s="129"/>
      <c r="AO64" s="16"/>
      <c r="AP64" s="16"/>
      <c r="AQ64" s="16"/>
      <c r="AR64" s="47">
        <v>50</v>
      </c>
      <c r="AS64" s="49">
        <v>10</v>
      </c>
      <c r="AT64" s="16"/>
      <c r="AU64" s="49">
        <v>50</v>
      </c>
      <c r="AV64" s="49">
        <v>20</v>
      </c>
      <c r="AW64" s="16"/>
    </row>
    <row r="65" spans="1:49" s="4" customFormat="1" x14ac:dyDescent="0.2">
      <c r="A65" s="112">
        <v>64</v>
      </c>
      <c r="B65" s="17">
        <f>IF(Women[[#This Row],[PR Rang beim letzten Turnier]]&gt;Women[[#This Row],[PR Rang]],1,IF(Women[[#This Row],[PR Rang]]=Women[[#This Row],[PR Rang beim letzten Turnier]],0,-1))</f>
        <v>1</v>
      </c>
      <c r="C65" s="112">
        <f>RANK(Women[[#This Row],[PR Punkte]],Women[PR Punkte],0)</f>
        <v>59</v>
      </c>
      <c r="D65" s="9" t="s">
        <v>528</v>
      </c>
      <c r="E65" s="9" t="s">
        <v>529</v>
      </c>
      <c r="F65" s="109">
        <f>SUM(Women[[#This Row],[PR 1]:[PR 3]])</f>
        <v>37</v>
      </c>
      <c r="G65" s="109">
        <f>LARGE(Women[[#This Row],[TS SH O 22.02.22]:[PR3]],1)</f>
        <v>37</v>
      </c>
      <c r="H65" s="109">
        <f>LARGE(Women[[#This Row],[TS SH O 22.02.22]:[PR3]],2)</f>
        <v>0</v>
      </c>
      <c r="I65" s="109">
        <f>LARGE(Women[[#This Row],[TS SH O 22.02.22]:[PR3]],3)</f>
        <v>0</v>
      </c>
      <c r="J65" s="9">
        <f>RANK(K65,$K$7:$K$108,0)</f>
        <v>59</v>
      </c>
      <c r="K65" s="109">
        <f>SUM(L65:AA65)</f>
        <v>37</v>
      </c>
      <c r="L65" s="128" t="str">
        <f>IFERROR(VLOOKUP(Women[[#This Row],[TS SH O 22.02.22 Rang]],$AU$15:$AV$72,2,0)*L$5," ")</f>
        <v xml:space="preserve"> </v>
      </c>
      <c r="M65" s="109" t="str">
        <f>IFERROR(VLOOKUP(Women[[#This Row],[TS SH W 22.02.22 Rang]],$AR$15:$AS$72,2,0)*M$5," ")</f>
        <v xml:space="preserve"> </v>
      </c>
      <c r="N65" s="109" t="str">
        <f>IFERROR(VLOOKUP(Women[[#This Row],[TS LU W 12.03.22 Rang]],$AR$15:$AS$72,2,0)*N$5," ")</f>
        <v xml:space="preserve"> </v>
      </c>
      <c r="O65" s="128" t="str">
        <f>IFERROR(VLOOKUP(Women[[#This Row],[TS SH O 23.04.22 Rang]],$AU$15:$AV$72,2,0)*O$5," ")</f>
        <v xml:space="preserve"> </v>
      </c>
      <c r="P65" s="177">
        <f>IFERROR(VLOOKUP(Women[[#This Row],[TS LA W 08.05.22 Rang]],$AR$15:$AS$72,2,0)*P$5," ")</f>
        <v>37</v>
      </c>
      <c r="Q65" s="128" t="str">
        <f>IFERROR(VLOOKUP(Women[[#This Row],[TS SG O 25.05.22 Rang]],$AU$15:$AV$72,2,0)*Q$5," ")</f>
        <v xml:space="preserve"> </v>
      </c>
      <c r="R65" s="177" t="str">
        <f>IFERROR(VLOOKUP(Women[[#This Row],[TS SG W 25.05.22 Rang]],$AR$15:$AS$72,2,0)*R$5," ")</f>
        <v xml:space="preserve"> </v>
      </c>
      <c r="S65" s="128" t="str">
        <f>IFERROR(VLOOKUP(Women[[#This Row],[TS SH O 25.06.22 Rang]],$AU$15:$AV$72,2,0)*$S$5," ")</f>
        <v xml:space="preserve"> </v>
      </c>
      <c r="T65" s="177" t="str">
        <f>IFERROR(VLOOKUP(Women[[#This Row],[TS SH W 25.06.22 Rang]],$AR$15:$AS$72,2,0)*T$5," ")</f>
        <v xml:space="preserve"> </v>
      </c>
      <c r="U65" s="177" t="str">
        <f>IFERROR(VLOOKUP(Women[[#This Row],[TS ZH W 02.07.22 Rang]],$AR$15:$AS$72,2,0)*U$5," ")</f>
        <v xml:space="preserve"> </v>
      </c>
      <c r="V65" s="128" t="str">
        <f>IFERROR(VLOOKUP(Women[[#This Row],[SM BE O/A 09.07.22 Rang]],$AU$15:$AV$72,2,0)*V63," ")</f>
        <v xml:space="preserve"> </v>
      </c>
      <c r="W65" s="128" t="str">
        <f>IFERROR(VLOOKUP(Women[[#This Row],[SM BE O/B 09.07.22 Rang]],$AU$15:$AV$72,2,0)*$W$5," ")</f>
        <v xml:space="preserve"> </v>
      </c>
      <c r="X65" s="177" t="str">
        <f>IFERROR(VLOOKUP(Women[[#This Row],[SM BE W 09.07.22 Rang]],$AR$15:$AS$72,2,0)*X$5," ")</f>
        <v xml:space="preserve"> </v>
      </c>
      <c r="Y65" s="11">
        <v>0</v>
      </c>
      <c r="Z65" s="11">
        <v>0</v>
      </c>
      <c r="AA65" s="11">
        <v>0</v>
      </c>
      <c r="AB65" s="131"/>
      <c r="AC65" s="129"/>
      <c r="AD65" s="129"/>
      <c r="AE65" s="131"/>
      <c r="AF65" s="129">
        <v>8</v>
      </c>
      <c r="AG65" s="131"/>
      <c r="AH65" s="129"/>
      <c r="AI65" s="131"/>
      <c r="AJ65" s="129"/>
      <c r="AK65" s="129"/>
      <c r="AL65" s="131"/>
      <c r="AM65" s="131"/>
      <c r="AN65" s="129"/>
      <c r="AO65" s="16"/>
      <c r="AP65" s="16"/>
      <c r="AQ65" s="16"/>
      <c r="AR65" s="47">
        <v>51</v>
      </c>
      <c r="AS65" s="49">
        <v>10</v>
      </c>
      <c r="AT65" s="16"/>
      <c r="AU65" s="49">
        <v>51</v>
      </c>
      <c r="AV65" s="49">
        <v>20</v>
      </c>
      <c r="AW65" s="16"/>
    </row>
    <row r="66" spans="1:49" s="4" customFormat="1" x14ac:dyDescent="0.2">
      <c r="A66" s="275"/>
      <c r="B66" s="276">
        <f>IF(Women[[#This Row],[PR Rang beim letzten Turnier]]&gt;Women[[#This Row],[PR Rang]],1,IF(Women[[#This Row],[PR Rang]]=Women[[#This Row],[PR Rang beim letzten Turnier]],0,-1))</f>
        <v>-1</v>
      </c>
      <c r="C66" s="275">
        <f>RANK(Women[[#This Row],[PR Punkte]],Women[PR Punkte],0)</f>
        <v>60</v>
      </c>
      <c r="D66" s="277" t="s">
        <v>628</v>
      </c>
      <c r="E66" s="11" t="s">
        <v>0</v>
      </c>
      <c r="F66" s="261">
        <f>SUM(Women[[#This Row],[PR 1]:[PR 3]])</f>
        <v>35.200000000000003</v>
      </c>
      <c r="G66" s="109">
        <f>LARGE(Women[[#This Row],[TS SH O 22.02.22]:[PR3]],1)</f>
        <v>35.200000000000003</v>
      </c>
      <c r="H66" s="109">
        <f>LARGE(Women[[#This Row],[TS SH O 22.02.22]:[PR3]],2)</f>
        <v>0</v>
      </c>
      <c r="I66" s="109">
        <f>LARGE(Women[[#This Row],[TS SH O 22.02.22]:[PR3]],3)</f>
        <v>0</v>
      </c>
      <c r="J66" s="86">
        <f>RANK(K66,$K$7:$K$108,0)</f>
        <v>60</v>
      </c>
      <c r="K66" s="258">
        <f>SUM(L66:AA66)</f>
        <v>35.200000000000003</v>
      </c>
      <c r="L66" s="279" t="str">
        <f>IFERROR(VLOOKUP(Women[[#This Row],[TS SH O 22.02.22 Rang]],$AU$15:$AV$72,2,0)*L$5," ")</f>
        <v xml:space="preserve"> </v>
      </c>
      <c r="M66" s="278" t="str">
        <f>IFERROR(VLOOKUP(Women[[#This Row],[TS SH W 22.02.22 Rang]],$AR$15:$AS$72,2,0)*M$5," ")</f>
        <v xml:space="preserve"> </v>
      </c>
      <c r="N66" s="278" t="str">
        <f>IFERROR(VLOOKUP(Women[[#This Row],[TS LU W 12.03.22 Rang]],$AR$15:$AS$72,2,0)*N$5," ")</f>
        <v xml:space="preserve"> </v>
      </c>
      <c r="O66" s="279" t="str">
        <f>IFERROR(VLOOKUP(Women[[#This Row],[TS SH O 23.04.22 Rang]],$AU$15:$AV$72,2,0)*O$5," ")</f>
        <v xml:space="preserve"> </v>
      </c>
      <c r="P66" s="278" t="str">
        <f>IFERROR(VLOOKUP(Women[[#This Row],[TS LA W 08.05.22 Rang]],$AR$15:$AS$72,2,0)*P$5," ")</f>
        <v xml:space="preserve"> </v>
      </c>
      <c r="Q66" s="128" t="str">
        <f>IFERROR(VLOOKUP(Women[[#This Row],[TS SG O 25.05.22 Rang]],$AU$15:$AV$72,2,0)*Q$5," ")</f>
        <v xml:space="preserve"> </v>
      </c>
      <c r="R66" s="177" t="str">
        <f>IFERROR(VLOOKUP(Women[[#This Row],[TS SG W 25.05.22 Rang]],$AR$15:$AS$72,2,0)*R$5," ")</f>
        <v xml:space="preserve"> </v>
      </c>
      <c r="S66" s="128" t="str">
        <f>IFERROR(VLOOKUP(Women[[#This Row],[TS SH O 25.06.22 Rang]],$AU$15:$AV$72,2,0)*$S$5," ")</f>
        <v xml:space="preserve"> </v>
      </c>
      <c r="T66" s="177" t="str">
        <f>IFERROR(VLOOKUP(Women[[#This Row],[TS SH W 25.06.22 Rang]],$AR$15:$AS$72,2,0)*T$5," ")</f>
        <v xml:space="preserve"> </v>
      </c>
      <c r="U66" s="177" t="str">
        <f>IFERROR(VLOOKUP(Women[[#This Row],[TS ZH W 02.07.22 Rang]],$AR$15:$AS$72,2,0)*U$5," ")</f>
        <v xml:space="preserve"> </v>
      </c>
      <c r="V66" s="128" t="str">
        <f>IFERROR(VLOOKUP(Women[[#This Row],[SM BE O/A 09.07.22 Rang]],$AU$15:$AV$72,2,0)*V64," ")</f>
        <v xml:space="preserve"> </v>
      </c>
      <c r="W66" s="128" t="str">
        <f>IFERROR(VLOOKUP(Women[[#This Row],[SM BE O/B 09.07.22 Rang]],$AU$15:$AV$72,2,0)*$W$5," ")</f>
        <v xml:space="preserve"> </v>
      </c>
      <c r="X66" s="177">
        <f>IFERROR(VLOOKUP(Women[[#This Row],[SM BE W 09.07.22 Rang]],$AR$15:$AS$72,2,0)*X$5," ")</f>
        <v>35.200000000000003</v>
      </c>
      <c r="Y66" s="244">
        <v>0</v>
      </c>
      <c r="Z66" s="244">
        <v>0</v>
      </c>
      <c r="AA66" s="244">
        <v>0</v>
      </c>
      <c r="AB66" s="131"/>
      <c r="AC66" s="129"/>
      <c r="AD66" s="129"/>
      <c r="AE66" s="280"/>
      <c r="AF66" s="263"/>
      <c r="AG66" s="131"/>
      <c r="AH66" s="129"/>
      <c r="AI66" s="131"/>
      <c r="AJ66" s="191"/>
      <c r="AK66" s="191"/>
      <c r="AL66" s="282"/>
      <c r="AM66" s="282"/>
      <c r="AN66" s="129">
        <v>13</v>
      </c>
      <c r="AO66" s="16"/>
      <c r="AP66" s="16"/>
      <c r="AQ66" s="16"/>
      <c r="AR66" s="47">
        <v>52</v>
      </c>
      <c r="AS66" s="49">
        <v>10</v>
      </c>
      <c r="AT66" s="16"/>
      <c r="AU66" s="49">
        <v>52</v>
      </c>
      <c r="AV66" s="49">
        <v>20</v>
      </c>
      <c r="AW66" s="16"/>
    </row>
    <row r="67" spans="1:49" s="4" customFormat="1" x14ac:dyDescent="0.2">
      <c r="A67" s="112">
        <v>71</v>
      </c>
      <c r="B67" s="17">
        <f>IF(Women[[#This Row],[PR Rang beim letzten Turnier]]&gt;Women[[#This Row],[PR Rang]],1,IF(Women[[#This Row],[PR Rang]]=Women[[#This Row],[PR Rang beim letzten Turnier]],0,-1))</f>
        <v>1</v>
      </c>
      <c r="C67" s="112">
        <f>RANK(Women[[#This Row],[PR Punkte]],Women[PR Punkte],0)</f>
        <v>61</v>
      </c>
      <c r="D67" s="13" t="s">
        <v>469</v>
      </c>
      <c r="E67" s="11" t="s">
        <v>8</v>
      </c>
      <c r="F67" s="109">
        <f>SUM(Women[[#This Row],[PR 1]:[PR 3]])</f>
        <v>34.4</v>
      </c>
      <c r="G67" s="109">
        <f>LARGE(Women[[#This Row],[TS SH O 22.02.22]:[PR3]],1)</f>
        <v>34.4</v>
      </c>
      <c r="H67" s="109">
        <f>LARGE(Women[[#This Row],[TS SH O 22.02.22]:[PR3]],2)</f>
        <v>0</v>
      </c>
      <c r="I67" s="109">
        <f>LARGE(Women[[#This Row],[TS SH O 22.02.22]:[PR3]],3)</f>
        <v>0</v>
      </c>
      <c r="J67" s="11">
        <f>RANK(K67,$K$7:$K$108,0)</f>
        <v>61</v>
      </c>
      <c r="K67" s="109">
        <f>SUM(L67:AA67)</f>
        <v>34.4</v>
      </c>
      <c r="L67" s="128" t="str">
        <f>IFERROR(VLOOKUP(Women[[#This Row],[TS SH O 22.02.22 Rang]],$AU$15:$AV$72,2,0)*L$5," ")</f>
        <v xml:space="preserve"> </v>
      </c>
      <c r="M67" s="109" t="str">
        <f>IFERROR(VLOOKUP(Women[[#This Row],[TS SH W 22.02.22 Rang]],$AR$15:$AS$72,2,0)*M$5," ")</f>
        <v xml:space="preserve"> </v>
      </c>
      <c r="N67" s="109">
        <f>IFERROR(VLOOKUP(Women[[#This Row],[TS LU W 12.03.22 Rang]],$AR$15:$AS$72,2,0)*N$5," ")</f>
        <v>34.4</v>
      </c>
      <c r="O67" s="128" t="str">
        <f>IFERROR(VLOOKUP(Women[[#This Row],[TS SH O 23.04.22 Rang]],$AU$15:$AV$72,2,0)*O$5," ")</f>
        <v xml:space="preserve"> </v>
      </c>
      <c r="P67" s="177" t="str">
        <f>IFERROR(VLOOKUP(Women[[#This Row],[TS LA W 08.05.22 Rang]],$AR$15:$AS$72,2,0)*P$5," ")</f>
        <v xml:space="preserve"> </v>
      </c>
      <c r="Q67" s="128" t="str">
        <f>IFERROR(VLOOKUP(Women[[#This Row],[TS SG O 25.05.22 Rang]],$AU$15:$AV$72,2,0)*Q$5," ")</f>
        <v xml:space="preserve"> </v>
      </c>
      <c r="R67" s="177" t="str">
        <f>IFERROR(VLOOKUP(Women[[#This Row],[TS SG W 25.05.22 Rang]],$AR$15:$AS$72,2,0)*R$5," ")</f>
        <v xml:space="preserve"> </v>
      </c>
      <c r="S67" s="128" t="str">
        <f>IFERROR(VLOOKUP(Women[[#This Row],[TS SH O 25.06.22 Rang]],$AU$15:$AV$72,2,0)*$S$5," ")</f>
        <v xml:space="preserve"> </v>
      </c>
      <c r="T67" s="177" t="str">
        <f>IFERROR(VLOOKUP(Women[[#This Row],[TS SH W 25.06.22 Rang]],$AR$15:$AS$72,2,0)*T$5," ")</f>
        <v xml:space="preserve"> </v>
      </c>
      <c r="U67" s="177" t="str">
        <f>IFERROR(VLOOKUP(Women[[#This Row],[TS ZH W 02.07.22 Rang]],$AR$15:$AS$72,2,0)*U$5," ")</f>
        <v xml:space="preserve"> </v>
      </c>
      <c r="V67" s="128" t="str">
        <f>IFERROR(VLOOKUP(Women[[#This Row],[SM BE O/A 09.07.22 Rang]],$AU$15:$AV$72,2,0)*V65," ")</f>
        <v xml:space="preserve"> </v>
      </c>
      <c r="W67" s="128" t="str">
        <f>IFERROR(VLOOKUP(Women[[#This Row],[SM BE O/B 09.07.22 Rang]],$AU$15:$AV$72,2,0)*$W$5," ")</f>
        <v xml:space="preserve"> </v>
      </c>
      <c r="X67" s="177" t="str">
        <f>IFERROR(VLOOKUP(Women[[#This Row],[SM BE W 09.07.22 Rang]],$AR$15:$AS$72,2,0)*X$5," ")</f>
        <v xml:space="preserve"> </v>
      </c>
      <c r="Y67" s="11">
        <v>0</v>
      </c>
      <c r="Z67" s="11">
        <v>0</v>
      </c>
      <c r="AA67" s="11">
        <v>0</v>
      </c>
      <c r="AB67" s="131"/>
      <c r="AC67" s="129"/>
      <c r="AD67" s="129">
        <v>10</v>
      </c>
      <c r="AE67" s="131"/>
      <c r="AF67" s="129"/>
      <c r="AG67" s="131"/>
      <c r="AH67" s="129"/>
      <c r="AI67" s="131"/>
      <c r="AJ67" s="129"/>
      <c r="AK67" s="129"/>
      <c r="AL67" s="131"/>
      <c r="AM67" s="131"/>
      <c r="AN67" s="129"/>
      <c r="AO67" s="16"/>
      <c r="AP67" s="16"/>
      <c r="AQ67" s="16"/>
      <c r="AR67" s="47">
        <v>53</v>
      </c>
      <c r="AS67" s="49">
        <v>10</v>
      </c>
      <c r="AT67" s="16"/>
      <c r="AU67" s="49">
        <v>53</v>
      </c>
      <c r="AV67" s="49">
        <v>20</v>
      </c>
      <c r="AW67" s="16"/>
    </row>
    <row r="68" spans="1:49" s="4" customFormat="1" x14ac:dyDescent="0.2">
      <c r="A68" s="112">
        <v>71</v>
      </c>
      <c r="B68" s="17">
        <f>IF(Women[[#This Row],[PR Rang beim letzten Turnier]]&gt;Women[[#This Row],[PR Rang]],1,IF(Women[[#This Row],[PR Rang]]=Women[[#This Row],[PR Rang beim letzten Turnier]],0,-1))</f>
        <v>1</v>
      </c>
      <c r="C68" s="112">
        <f>RANK(Women[[#This Row],[PR Punkte]],Women[PR Punkte],0)</f>
        <v>61</v>
      </c>
      <c r="D68" s="13" t="s">
        <v>470</v>
      </c>
      <c r="E68" s="11" t="s">
        <v>16</v>
      </c>
      <c r="F68" s="109">
        <f>SUM(Women[[#This Row],[PR 1]:[PR 3]])</f>
        <v>34.4</v>
      </c>
      <c r="G68" s="109">
        <f>LARGE(Women[[#This Row],[TS SH O 22.02.22]:[PR3]],1)</f>
        <v>34.4</v>
      </c>
      <c r="H68" s="109">
        <f>LARGE(Women[[#This Row],[TS SH O 22.02.22]:[PR3]],2)</f>
        <v>0</v>
      </c>
      <c r="I68" s="109">
        <f>LARGE(Women[[#This Row],[TS SH O 22.02.22]:[PR3]],3)</f>
        <v>0</v>
      </c>
      <c r="J68" s="11">
        <f>RANK(K68,$K$7:$K$108,0)</f>
        <v>61</v>
      </c>
      <c r="K68" s="109">
        <f>SUM(L68:AA68)</f>
        <v>34.4</v>
      </c>
      <c r="L68" s="128" t="str">
        <f>IFERROR(VLOOKUP(Women[[#This Row],[TS SH O 22.02.22 Rang]],$AU$15:$AV$72,2,0)*L$5," ")</f>
        <v xml:space="preserve"> </v>
      </c>
      <c r="M68" s="109" t="str">
        <f>IFERROR(VLOOKUP(Women[[#This Row],[TS SH W 22.02.22 Rang]],$AR$15:$AS$72,2,0)*M$5," ")</f>
        <v xml:space="preserve"> </v>
      </c>
      <c r="N68" s="109">
        <f>IFERROR(VLOOKUP(Women[[#This Row],[TS LU W 12.03.22 Rang]],$AR$15:$AS$72,2,0)*N$5," ")</f>
        <v>34.4</v>
      </c>
      <c r="O68" s="128" t="str">
        <f>IFERROR(VLOOKUP(Women[[#This Row],[TS SH O 23.04.22 Rang]],$AU$15:$AV$72,2,0)*O$5," ")</f>
        <v xml:space="preserve"> </v>
      </c>
      <c r="P68" s="177" t="str">
        <f>IFERROR(VLOOKUP(Women[[#This Row],[TS LA W 08.05.22 Rang]],$AR$15:$AS$72,2,0)*P$5," ")</f>
        <v xml:space="preserve"> </v>
      </c>
      <c r="Q68" s="128" t="str">
        <f>IFERROR(VLOOKUP(Women[[#This Row],[TS SG O 25.05.22 Rang]],$AU$15:$AV$72,2,0)*Q$5," ")</f>
        <v xml:space="preserve"> </v>
      </c>
      <c r="R68" s="177" t="str">
        <f>IFERROR(VLOOKUP(Women[[#This Row],[TS SG W 25.05.22 Rang]],$AR$15:$AS$72,2,0)*R$5," ")</f>
        <v xml:space="preserve"> </v>
      </c>
      <c r="S68" s="128" t="str">
        <f>IFERROR(VLOOKUP(Women[[#This Row],[TS SH O 25.06.22 Rang]],$AU$15:$AV$72,2,0)*$S$5," ")</f>
        <v xml:space="preserve"> </v>
      </c>
      <c r="T68" s="177" t="str">
        <f>IFERROR(VLOOKUP(Women[[#This Row],[TS SH W 25.06.22 Rang]],$AR$15:$AS$72,2,0)*T$5," ")</f>
        <v xml:space="preserve"> </v>
      </c>
      <c r="U68" s="177" t="str">
        <f>IFERROR(VLOOKUP(Women[[#This Row],[TS ZH W 02.07.22 Rang]],$AR$15:$AS$72,2,0)*U$5," ")</f>
        <v xml:space="preserve"> </v>
      </c>
      <c r="V68" s="128" t="str">
        <f>IFERROR(VLOOKUP(Women[[#This Row],[SM BE O/A 09.07.22 Rang]],$AU$15:$AV$72,2,0)*V66," ")</f>
        <v xml:space="preserve"> </v>
      </c>
      <c r="W68" s="128" t="str">
        <f>IFERROR(VLOOKUP(Women[[#This Row],[SM BE O/B 09.07.22 Rang]],$AU$15:$AV$72,2,0)*$W$5," ")</f>
        <v xml:space="preserve"> </v>
      </c>
      <c r="X68" s="177" t="str">
        <f>IFERROR(VLOOKUP(Women[[#This Row],[SM BE W 09.07.22 Rang]],$AR$15:$AS$72,2,0)*X$5," ")</f>
        <v xml:space="preserve"> </v>
      </c>
      <c r="Y68" s="11">
        <v>0</v>
      </c>
      <c r="Z68" s="11">
        <v>0</v>
      </c>
      <c r="AA68" s="11">
        <v>0</v>
      </c>
      <c r="AB68" s="131"/>
      <c r="AC68" s="129"/>
      <c r="AD68" s="129">
        <v>11</v>
      </c>
      <c r="AE68" s="131"/>
      <c r="AF68" s="129"/>
      <c r="AG68" s="131"/>
      <c r="AH68" s="129"/>
      <c r="AI68" s="131"/>
      <c r="AJ68" s="129"/>
      <c r="AK68" s="129"/>
      <c r="AL68" s="131"/>
      <c r="AM68" s="131"/>
      <c r="AN68" s="129"/>
      <c r="AO68" s="16"/>
      <c r="AP68" s="16"/>
      <c r="AQ68" s="16"/>
      <c r="AR68" s="47">
        <v>54</v>
      </c>
      <c r="AS68" s="49">
        <v>10</v>
      </c>
      <c r="AT68" s="16"/>
      <c r="AU68" s="49">
        <v>54</v>
      </c>
      <c r="AV68" s="49">
        <v>20</v>
      </c>
      <c r="AW68" s="16"/>
    </row>
    <row r="69" spans="1:49" s="4" customFormat="1" x14ac:dyDescent="0.2">
      <c r="A69" s="112">
        <v>71</v>
      </c>
      <c r="B69" s="17">
        <f>IF(Women[[#This Row],[PR Rang beim letzten Turnier]]&gt;Women[[#This Row],[PR Rang]],1,IF(Women[[#This Row],[PR Rang]]=Women[[#This Row],[PR Rang beim letzten Turnier]],0,-1))</f>
        <v>1</v>
      </c>
      <c r="C69" s="112">
        <f>RANK(Women[[#This Row],[PR Punkte]],Women[PR Punkte],0)</f>
        <v>61</v>
      </c>
      <c r="D69" s="13" t="s">
        <v>474</v>
      </c>
      <c r="E69" s="11" t="s">
        <v>11</v>
      </c>
      <c r="F69" s="109">
        <f>SUM(Women[[#This Row],[PR 1]:[PR 3]])</f>
        <v>34.4</v>
      </c>
      <c r="G69" s="109">
        <f>LARGE(Women[[#This Row],[TS SH O 22.02.22]:[PR3]],1)</f>
        <v>34.4</v>
      </c>
      <c r="H69" s="109">
        <f>LARGE(Women[[#This Row],[TS SH O 22.02.22]:[PR3]],2)</f>
        <v>0</v>
      </c>
      <c r="I69" s="109">
        <f>LARGE(Women[[#This Row],[TS SH O 22.02.22]:[PR3]],3)</f>
        <v>0</v>
      </c>
      <c r="J69" s="11">
        <f>RANK(K69,$K$7:$K$108,0)</f>
        <v>61</v>
      </c>
      <c r="K69" s="109">
        <f>SUM(L69:AA69)</f>
        <v>34.4</v>
      </c>
      <c r="L69" s="128" t="str">
        <f>IFERROR(VLOOKUP(Women[[#This Row],[TS SH O 22.02.22 Rang]],$AU$15:$AV$72,2,0)*L$5," ")</f>
        <v xml:space="preserve"> </v>
      </c>
      <c r="M69" s="109" t="str">
        <f>IFERROR(VLOOKUP(Women[[#This Row],[TS SH W 22.02.22 Rang]],$AR$15:$AS$72,2,0)*M$5," ")</f>
        <v xml:space="preserve"> </v>
      </c>
      <c r="N69" s="109">
        <f>IFERROR(VLOOKUP(Women[[#This Row],[TS LU W 12.03.22 Rang]],$AR$15:$AS$72,2,0)*N$5," ")</f>
        <v>34.4</v>
      </c>
      <c r="O69" s="128" t="str">
        <f>IFERROR(VLOOKUP(Women[[#This Row],[TS SH O 23.04.22 Rang]],$AU$15:$AV$72,2,0)*O$5," ")</f>
        <v xml:space="preserve"> </v>
      </c>
      <c r="P69" s="177" t="str">
        <f>IFERROR(VLOOKUP(Women[[#This Row],[TS LA W 08.05.22 Rang]],$AR$15:$AS$72,2,0)*P$5," ")</f>
        <v xml:space="preserve"> </v>
      </c>
      <c r="Q69" s="128" t="str">
        <f>IFERROR(VLOOKUP(Women[[#This Row],[TS SG O 25.05.22 Rang]],$AU$15:$AV$72,2,0)*Q$5," ")</f>
        <v xml:space="preserve"> </v>
      </c>
      <c r="R69" s="177" t="str">
        <f>IFERROR(VLOOKUP(Women[[#This Row],[TS SG W 25.05.22 Rang]],$AR$15:$AS$72,2,0)*R$5," ")</f>
        <v xml:space="preserve"> </v>
      </c>
      <c r="S69" s="128" t="str">
        <f>IFERROR(VLOOKUP(Women[[#This Row],[TS SH O 25.06.22 Rang]],$AU$15:$AV$72,2,0)*$S$5," ")</f>
        <v xml:space="preserve"> </v>
      </c>
      <c r="T69" s="177" t="str">
        <f>IFERROR(VLOOKUP(Women[[#This Row],[TS SH W 25.06.22 Rang]],$AR$15:$AS$72,2,0)*T$5," ")</f>
        <v xml:space="preserve"> </v>
      </c>
      <c r="U69" s="177" t="str">
        <f>IFERROR(VLOOKUP(Women[[#This Row],[TS ZH W 02.07.22 Rang]],$AR$15:$AS$72,2,0)*U$5," ")</f>
        <v xml:space="preserve"> </v>
      </c>
      <c r="V69" s="128" t="str">
        <f>IFERROR(VLOOKUP(Women[[#This Row],[SM BE O/A 09.07.22 Rang]],$AU$15:$AV$72,2,0)*V67," ")</f>
        <v xml:space="preserve"> </v>
      </c>
      <c r="W69" s="128" t="str">
        <f>IFERROR(VLOOKUP(Women[[#This Row],[SM BE O/B 09.07.22 Rang]],$AU$15:$AV$72,2,0)*$W$5," ")</f>
        <v xml:space="preserve"> </v>
      </c>
      <c r="X69" s="177" t="str">
        <f>IFERROR(VLOOKUP(Women[[#This Row],[SM BE W 09.07.22 Rang]],$AR$15:$AS$72,2,0)*X$5," ")</f>
        <v xml:space="preserve"> </v>
      </c>
      <c r="Y69" s="11">
        <v>0</v>
      </c>
      <c r="Z69" s="11">
        <v>0</v>
      </c>
      <c r="AA69" s="11">
        <v>0</v>
      </c>
      <c r="AB69" s="131"/>
      <c r="AC69" s="129"/>
      <c r="AD69" s="129">
        <v>14</v>
      </c>
      <c r="AE69" s="131"/>
      <c r="AF69" s="129"/>
      <c r="AG69" s="131"/>
      <c r="AH69" s="129"/>
      <c r="AI69" s="131"/>
      <c r="AJ69" s="129"/>
      <c r="AK69" s="129"/>
      <c r="AL69" s="131"/>
      <c r="AM69" s="131"/>
      <c r="AN69" s="129"/>
      <c r="AO69" s="16"/>
      <c r="AP69" s="16"/>
      <c r="AQ69" s="16"/>
      <c r="AR69" s="47">
        <v>55</v>
      </c>
      <c r="AS69" s="49">
        <v>10</v>
      </c>
      <c r="AT69" s="16"/>
      <c r="AU69" s="49">
        <v>55</v>
      </c>
      <c r="AV69" s="49">
        <v>20</v>
      </c>
      <c r="AW69" s="16"/>
    </row>
    <row r="70" spans="1:49" s="4" customFormat="1" x14ac:dyDescent="0.2">
      <c r="A70" s="112">
        <v>71</v>
      </c>
      <c r="B70" s="17">
        <f>IF(Women[[#This Row],[PR Rang beim letzten Turnier]]&gt;Women[[#This Row],[PR Rang]],1,IF(Women[[#This Row],[PR Rang]]=Women[[#This Row],[PR Rang beim letzten Turnier]],0,-1))</f>
        <v>1</v>
      </c>
      <c r="C70" s="112">
        <f>RANK(Women[[#This Row],[PR Punkte]],Women[PR Punkte],0)</f>
        <v>61</v>
      </c>
      <c r="D70" s="13" t="s">
        <v>473</v>
      </c>
      <c r="E70" s="11" t="s">
        <v>11</v>
      </c>
      <c r="F70" s="109">
        <f>SUM(Women[[#This Row],[PR 1]:[PR 3]])</f>
        <v>34.4</v>
      </c>
      <c r="G70" s="109">
        <f>LARGE(Women[[#This Row],[TS SH O 22.02.22]:[PR3]],1)</f>
        <v>34.4</v>
      </c>
      <c r="H70" s="109">
        <f>LARGE(Women[[#This Row],[TS SH O 22.02.22]:[PR3]],2)</f>
        <v>0</v>
      </c>
      <c r="I70" s="109">
        <f>LARGE(Women[[#This Row],[TS SH O 22.02.22]:[PR3]],3)</f>
        <v>0</v>
      </c>
      <c r="J70" s="11">
        <f>RANK(K70,$K$7:$K$108,0)</f>
        <v>61</v>
      </c>
      <c r="K70" s="109">
        <f>SUM(L70:AA70)</f>
        <v>34.4</v>
      </c>
      <c r="L70" s="128" t="str">
        <f>IFERROR(VLOOKUP(Women[[#This Row],[TS SH O 22.02.22 Rang]],$AU$15:$AV$72,2,0)*L$5," ")</f>
        <v xml:space="preserve"> </v>
      </c>
      <c r="M70" s="109" t="str">
        <f>IFERROR(VLOOKUP(Women[[#This Row],[TS SH W 22.02.22 Rang]],$AR$15:$AS$72,2,0)*M$5," ")</f>
        <v xml:space="preserve"> </v>
      </c>
      <c r="N70" s="109">
        <f>IFERROR(VLOOKUP(Women[[#This Row],[TS LU W 12.03.22 Rang]],$AR$15:$AS$72,2,0)*N$5," ")</f>
        <v>34.4</v>
      </c>
      <c r="O70" s="128" t="str">
        <f>IFERROR(VLOOKUP(Women[[#This Row],[TS SH O 23.04.22 Rang]],$AU$15:$AV$72,2,0)*O$5," ")</f>
        <v xml:space="preserve"> </v>
      </c>
      <c r="P70" s="177" t="str">
        <f>IFERROR(VLOOKUP(Women[[#This Row],[TS LA W 08.05.22 Rang]],$AR$15:$AS$72,2,0)*P$5," ")</f>
        <v xml:space="preserve"> </v>
      </c>
      <c r="Q70" s="128" t="str">
        <f>IFERROR(VLOOKUP(Women[[#This Row],[TS SG O 25.05.22 Rang]],$AU$15:$AV$72,2,0)*Q$5," ")</f>
        <v xml:space="preserve"> </v>
      </c>
      <c r="R70" s="177" t="str">
        <f>IFERROR(VLOOKUP(Women[[#This Row],[TS SG W 25.05.22 Rang]],$AR$15:$AS$72,2,0)*R$5," ")</f>
        <v xml:space="preserve"> </v>
      </c>
      <c r="S70" s="128" t="str">
        <f>IFERROR(VLOOKUP(Women[[#This Row],[TS SH O 25.06.22 Rang]],$AU$15:$AV$72,2,0)*$S$5," ")</f>
        <v xml:space="preserve"> </v>
      </c>
      <c r="T70" s="177" t="str">
        <f>IFERROR(VLOOKUP(Women[[#This Row],[TS SH W 25.06.22 Rang]],$AR$15:$AS$72,2,0)*T$5," ")</f>
        <v xml:space="preserve"> </v>
      </c>
      <c r="U70" s="177" t="str">
        <f>IFERROR(VLOOKUP(Women[[#This Row],[TS ZH W 02.07.22 Rang]],$AR$15:$AS$72,2,0)*U$5," ")</f>
        <v xml:space="preserve"> </v>
      </c>
      <c r="V70" s="128" t="str">
        <f>IFERROR(VLOOKUP(Women[[#This Row],[SM BE O/A 09.07.22 Rang]],$AU$15:$AV$72,2,0)*V68," ")</f>
        <v xml:space="preserve"> </v>
      </c>
      <c r="W70" s="128" t="str">
        <f>IFERROR(VLOOKUP(Women[[#This Row],[SM BE O/B 09.07.22 Rang]],$AU$15:$AV$72,2,0)*$W$5," ")</f>
        <v xml:space="preserve"> </v>
      </c>
      <c r="X70" s="177" t="str">
        <f>IFERROR(VLOOKUP(Women[[#This Row],[SM BE W 09.07.22 Rang]],$AR$15:$AS$72,2,0)*X$5," ")</f>
        <v xml:space="preserve"> </v>
      </c>
      <c r="Y70" s="11">
        <v>0</v>
      </c>
      <c r="Z70" s="11">
        <v>0</v>
      </c>
      <c r="AA70" s="11">
        <v>0</v>
      </c>
      <c r="AB70" s="131"/>
      <c r="AC70" s="129"/>
      <c r="AD70" s="129">
        <v>14</v>
      </c>
      <c r="AE70" s="131"/>
      <c r="AF70" s="129"/>
      <c r="AG70" s="131"/>
      <c r="AH70" s="129"/>
      <c r="AI70" s="131"/>
      <c r="AJ70" s="129"/>
      <c r="AK70" s="129"/>
      <c r="AL70" s="131"/>
      <c r="AM70" s="131"/>
      <c r="AN70" s="129"/>
      <c r="AO70" s="16"/>
      <c r="AP70" s="16"/>
      <c r="AQ70" s="16"/>
      <c r="AR70" s="47">
        <v>56</v>
      </c>
      <c r="AS70" s="49">
        <v>10</v>
      </c>
      <c r="AT70" s="16"/>
      <c r="AU70" s="49">
        <v>56</v>
      </c>
      <c r="AV70" s="49">
        <v>20</v>
      </c>
      <c r="AW70" s="16"/>
    </row>
    <row r="71" spans="1:49" s="4" customFormat="1" x14ac:dyDescent="0.2">
      <c r="A71" s="238">
        <v>85</v>
      </c>
      <c r="B71" s="239">
        <f>IF(Women[[#This Row],[PR Rang beim letzten Turnier]]&gt;Women[[#This Row],[PR Rang]],1,IF(Women[[#This Row],[PR Rang]]=Women[[#This Row],[PR Rang beim letzten Turnier]],0,-1))</f>
        <v>1</v>
      </c>
      <c r="C71" s="238">
        <f>RANK(Women[[#This Row],[PR Punkte]],Women[PR Punkte],0)</f>
        <v>65</v>
      </c>
      <c r="D71" s="240" t="s">
        <v>572</v>
      </c>
      <c r="E71" s="11" t="s">
        <v>7</v>
      </c>
      <c r="F71" s="241">
        <f>SUM(Women[[#This Row],[PR 1]:[PR 3]])</f>
        <v>30.8</v>
      </c>
      <c r="G71" s="109">
        <f>LARGE(Women[[#This Row],[TS SH O 22.02.22]:[PR3]],1)</f>
        <v>30.8</v>
      </c>
      <c r="H71" s="109">
        <f>LARGE(Women[[#This Row],[TS SH O 22.02.22]:[PR3]],2)</f>
        <v>0</v>
      </c>
      <c r="I71" s="109">
        <f>LARGE(Women[[#This Row],[TS SH O 22.02.22]:[PR3]],3)</f>
        <v>0</v>
      </c>
      <c r="J71" s="86">
        <f>RANK(K71,$K$7:$K$108,0)</f>
        <v>65</v>
      </c>
      <c r="K71" s="241">
        <f>SUM(L71:AA71)</f>
        <v>30.8</v>
      </c>
      <c r="L71" s="242" t="str">
        <f>IFERROR(VLOOKUP(Women[[#This Row],[TS SH O 22.02.22 Rang]],$AU$15:$AV$72,2,0)*L$5," ")</f>
        <v xml:space="preserve"> </v>
      </c>
      <c r="M71" s="243" t="str">
        <f>IFERROR(VLOOKUP(Women[[#This Row],[TS SH W 22.02.22 Rang]],$AR$15:$AS$72,2,0)*M$5," ")</f>
        <v xml:space="preserve"> </v>
      </c>
      <c r="N71" s="243" t="str">
        <f>IFERROR(VLOOKUP(Women[[#This Row],[TS LU W 12.03.22 Rang]],$AR$15:$AS$72,2,0)*N$5," ")</f>
        <v xml:space="preserve"> </v>
      </c>
      <c r="O71" s="242" t="str">
        <f>IFERROR(VLOOKUP(Women[[#This Row],[TS SH O 23.04.22 Rang]],$AU$15:$AV$72,2,0)*O$5," ")</f>
        <v xml:space="preserve"> </v>
      </c>
      <c r="P71" s="243" t="str">
        <f>IFERROR(VLOOKUP(Women[[#This Row],[TS LA W 08.05.22 Rang]],$AR$15:$AS$72,2,0)*P$5," ")</f>
        <v xml:space="preserve"> </v>
      </c>
      <c r="Q71" s="128" t="str">
        <f>IFERROR(VLOOKUP(Women[[#This Row],[TS SG O 25.05.22 Rang]],$AU$15:$AV$72,2,0)*Q$5," ")</f>
        <v xml:space="preserve"> </v>
      </c>
      <c r="R71" s="177">
        <f>IFERROR(VLOOKUP(Women[[#This Row],[TS SG W 25.05.22 Rang]],$AR$15:$AS$72,2,0)*R$5," ")</f>
        <v>30.8</v>
      </c>
      <c r="S71" s="128" t="str">
        <f>IFERROR(VLOOKUP(Women[[#This Row],[TS SH O 25.06.22 Rang]],$AU$15:$AV$72,2,0)*$S$5," ")</f>
        <v xml:space="preserve"> </v>
      </c>
      <c r="T71" s="177" t="str">
        <f>IFERROR(VLOOKUP(Women[[#This Row],[TS SH W 25.06.22 Rang]],$AR$15:$AS$72,2,0)*T$5," ")</f>
        <v xml:space="preserve"> </v>
      </c>
      <c r="U71" s="177" t="str">
        <f>IFERROR(VLOOKUP(Women[[#This Row],[TS ZH W 02.07.22 Rang]],$AR$15:$AS$72,2,0)*U$5," ")</f>
        <v xml:space="preserve"> </v>
      </c>
      <c r="V71" s="128" t="str">
        <f>IFERROR(VLOOKUP(Women[[#This Row],[SM BE O/A 09.07.22 Rang]],$AU$15:$AV$72,2,0)*V69," ")</f>
        <v xml:space="preserve"> </v>
      </c>
      <c r="W71" s="128" t="str">
        <f>IFERROR(VLOOKUP(Women[[#This Row],[SM BE O/B 09.07.22 Rang]],$AU$15:$AV$72,2,0)*$W$5," ")</f>
        <v xml:space="preserve"> </v>
      </c>
      <c r="X71" s="177" t="str">
        <f>IFERROR(VLOOKUP(Women[[#This Row],[SM BE W 09.07.22 Rang]],$AR$15:$AS$72,2,0)*X$5," ")</f>
        <v xml:space="preserve"> </v>
      </c>
      <c r="Y71" s="244">
        <v>0</v>
      </c>
      <c r="Z71" s="244">
        <v>0</v>
      </c>
      <c r="AA71" s="244">
        <v>0</v>
      </c>
      <c r="AB71" s="245"/>
      <c r="AC71" s="129"/>
      <c r="AD71" s="246"/>
      <c r="AE71" s="245"/>
      <c r="AF71" s="246"/>
      <c r="AG71" s="131"/>
      <c r="AH71" s="129">
        <v>10</v>
      </c>
      <c r="AI71" s="131"/>
      <c r="AJ71" s="129"/>
      <c r="AK71" s="129"/>
      <c r="AL71" s="131"/>
      <c r="AM71" s="131"/>
      <c r="AN71" s="129"/>
      <c r="AO71" s="16"/>
      <c r="AP71" s="16"/>
      <c r="AQ71" s="16"/>
      <c r="AR71" s="47">
        <v>57</v>
      </c>
      <c r="AS71" s="49">
        <v>10</v>
      </c>
      <c r="AT71" s="16"/>
      <c r="AU71" s="49">
        <v>57</v>
      </c>
      <c r="AV71" s="49">
        <v>20</v>
      </c>
      <c r="AW71" s="16"/>
    </row>
    <row r="72" spans="1:49" s="4" customFormat="1" x14ac:dyDescent="0.2">
      <c r="A72" s="225">
        <v>85</v>
      </c>
      <c r="B72" s="198">
        <f>IF(Women[[#This Row],[PR Rang beim letzten Turnier]]&gt;Women[[#This Row],[PR Rang]],1,IF(Women[[#This Row],[PR Rang]]=Women[[#This Row],[PR Rang beim letzten Turnier]],0,-1))</f>
        <v>1</v>
      </c>
      <c r="C72" s="225">
        <f>RANK(Women[[#This Row],[PR Punkte]],Women[PR Punkte],0)</f>
        <v>66</v>
      </c>
      <c r="D72" s="160" t="s">
        <v>597</v>
      </c>
      <c r="E72" t="s">
        <v>10</v>
      </c>
      <c r="F72" s="109">
        <f>SUM(Women[[#This Row],[PR 1]:[PR 3]])</f>
        <v>30.4</v>
      </c>
      <c r="G72" s="109">
        <f>LARGE(Women[[#This Row],[TS SH O 22.02.22]:[PR3]],1)</f>
        <v>30.4</v>
      </c>
      <c r="H72" s="109">
        <f>LARGE(Women[[#This Row],[TS SH O 22.02.22]:[PR3]],2)</f>
        <v>0</v>
      </c>
      <c r="I72" s="109">
        <f>LARGE(Women[[#This Row],[TS SH O 22.02.22]:[PR3]],3)</f>
        <v>0</v>
      </c>
      <c r="J72" s="86">
        <f>RANK(K72,$K$7:$K$108,0)</f>
        <v>66</v>
      </c>
      <c r="K72" s="109">
        <f>SUM(L72:AA72)</f>
        <v>30.4</v>
      </c>
      <c r="L72" s="128" t="str">
        <f>IFERROR(VLOOKUP(Women[[#This Row],[TS SH O 22.02.22 Rang]],$AU$15:$AV$72,2,0)*L$5," ")</f>
        <v xml:space="preserve"> </v>
      </c>
      <c r="M72" s="177" t="str">
        <f>IFERROR(VLOOKUP(Women[[#This Row],[TS SH W 22.02.22 Rang]],$AR$15:$AS$72,2,0)*M$5," ")</f>
        <v xml:space="preserve"> </v>
      </c>
      <c r="N72" s="177" t="str">
        <f>IFERROR(VLOOKUP(Women[[#This Row],[TS LU W 12.03.22 Rang]],$AR$15:$AS$72,2,0)*N$5," ")</f>
        <v xml:space="preserve"> </v>
      </c>
      <c r="O72" s="128" t="str">
        <f>IFERROR(VLOOKUP(Women[[#This Row],[TS SH O 23.04.22 Rang]],$AU$15:$AV$72,2,0)*O$5," ")</f>
        <v xml:space="preserve"> </v>
      </c>
      <c r="P72" s="177" t="str">
        <f>IFERROR(VLOOKUP(Women[[#This Row],[TS LA W 08.05.22 Rang]],$AR$15:$AS$72,2,0)*P$5," ")</f>
        <v xml:space="preserve"> </v>
      </c>
      <c r="Q72" s="128" t="str">
        <f>IFERROR(VLOOKUP(Women[[#This Row],[TS SG O 25.05.22 Rang]],$AU$15:$AV$72,2,0)*Q$5," ")</f>
        <v xml:space="preserve"> </v>
      </c>
      <c r="R72" s="177" t="str">
        <f>IFERROR(VLOOKUP(Women[[#This Row],[TS SG W 25.05.22 Rang]],$AR$15:$AS$72,2,0)*R$5," ")</f>
        <v xml:space="preserve"> </v>
      </c>
      <c r="S72" s="128" t="str">
        <f>IFERROR(VLOOKUP(Women[[#This Row],[TS SH O 25.06.22 Rang]],$AU$15:$AV$72,2,0)*$S$5," ")</f>
        <v xml:space="preserve"> </v>
      </c>
      <c r="T72" s="177">
        <f>IFERROR(VLOOKUP(Women[[#This Row],[TS SH W 25.06.22 Rang]],$AR$15:$AS$72,2,0)*T$5," ")</f>
        <v>30.4</v>
      </c>
      <c r="U72" s="177" t="str">
        <f>IFERROR(VLOOKUP(Women[[#This Row],[TS ZH W 02.07.22 Rang]],$AR$15:$AS$72,2,0)*U$5," ")</f>
        <v xml:space="preserve"> </v>
      </c>
      <c r="V72" s="128" t="str">
        <f>IFERROR(VLOOKUP(Women[[#This Row],[SM BE O/A 09.07.22 Rang]],$AU$15:$AV$72,2,0)*V70," ")</f>
        <v xml:space="preserve"> </v>
      </c>
      <c r="W72" s="128" t="str">
        <f>IFERROR(VLOOKUP(Women[[#This Row],[SM BE O/B 09.07.22 Rang]],$AU$15:$AV$72,2,0)*$W$5," ")</f>
        <v xml:space="preserve"> </v>
      </c>
      <c r="X72" s="177" t="str">
        <f>IFERROR(VLOOKUP(Women[[#This Row],[SM BE W 09.07.22 Rang]],$AR$15:$AS$72,2,0)*X$5," ")</f>
        <v xml:space="preserve"> </v>
      </c>
      <c r="Y72" s="244">
        <v>0</v>
      </c>
      <c r="Z72" s="244">
        <v>0</v>
      </c>
      <c r="AA72" s="244">
        <v>0</v>
      </c>
      <c r="AB72" s="131"/>
      <c r="AC72" s="129"/>
      <c r="AD72" s="129"/>
      <c r="AE72" s="131"/>
      <c r="AF72" s="129"/>
      <c r="AG72" s="131"/>
      <c r="AH72" s="129"/>
      <c r="AI72" s="131"/>
      <c r="AJ72" s="191">
        <v>10</v>
      </c>
      <c r="AK72" s="191"/>
      <c r="AL72" s="282"/>
      <c r="AM72" s="282"/>
      <c r="AN72" s="191"/>
      <c r="AO72" s="16"/>
      <c r="AP72" s="16"/>
      <c r="AQ72" s="16"/>
      <c r="AR72" s="47">
        <v>58</v>
      </c>
      <c r="AS72" s="49">
        <v>10</v>
      </c>
      <c r="AT72" s="16"/>
      <c r="AU72" s="49">
        <v>58</v>
      </c>
      <c r="AV72" s="49">
        <v>20</v>
      </c>
      <c r="AW72" s="16"/>
    </row>
    <row r="73" spans="1:49" x14ac:dyDescent="0.2">
      <c r="A73" s="225">
        <v>85</v>
      </c>
      <c r="B73" s="198">
        <f>IF(Women[[#This Row],[PR Rang beim letzten Turnier]]&gt;Women[[#This Row],[PR Rang]],1,IF(Women[[#This Row],[PR Rang]]=Women[[#This Row],[PR Rang beim letzten Turnier]],0,-1))</f>
        <v>1</v>
      </c>
      <c r="C73" s="225">
        <f>RANK(Women[[#This Row],[PR Punkte]],Women[PR Punkte],0)</f>
        <v>66</v>
      </c>
      <c r="D73" s="160" t="s">
        <v>599</v>
      </c>
      <c r="E73" t="s">
        <v>10</v>
      </c>
      <c r="F73" s="109">
        <f>SUM(Women[[#This Row],[PR 1]:[PR 3]])</f>
        <v>30.4</v>
      </c>
      <c r="G73" s="109">
        <f>LARGE(Women[[#This Row],[TS SH O 22.02.22]:[PR3]],1)</f>
        <v>30.4</v>
      </c>
      <c r="H73" s="109">
        <f>LARGE(Women[[#This Row],[TS SH O 22.02.22]:[PR3]],2)</f>
        <v>0</v>
      </c>
      <c r="I73" s="109">
        <f>LARGE(Women[[#This Row],[TS SH O 22.02.22]:[PR3]],3)</f>
        <v>0</v>
      </c>
      <c r="J73" s="86">
        <f>RANK(K73,$K$7:$K$108,0)</f>
        <v>66</v>
      </c>
      <c r="K73" s="109">
        <f>SUM(L73:AA73)</f>
        <v>30.4</v>
      </c>
      <c r="L73" s="128" t="str">
        <f>IFERROR(VLOOKUP(Women[[#This Row],[TS SH O 22.02.22 Rang]],$AU$15:$AV$72,2,0)*L$5," ")</f>
        <v xml:space="preserve"> </v>
      </c>
      <c r="M73" s="177" t="str">
        <f>IFERROR(VLOOKUP(Women[[#This Row],[TS SH W 22.02.22 Rang]],$AR$15:$AS$72,2,0)*M$5," ")</f>
        <v xml:space="preserve"> </v>
      </c>
      <c r="N73" s="177" t="str">
        <f>IFERROR(VLOOKUP(Women[[#This Row],[TS LU W 12.03.22 Rang]],$AR$15:$AS$72,2,0)*N$5," ")</f>
        <v xml:space="preserve"> </v>
      </c>
      <c r="O73" s="128" t="str">
        <f>IFERROR(VLOOKUP(Women[[#This Row],[TS SH O 23.04.22 Rang]],$AU$15:$AV$72,2,0)*O$5," ")</f>
        <v xml:space="preserve"> </v>
      </c>
      <c r="P73" s="177" t="str">
        <f>IFERROR(VLOOKUP(Women[[#This Row],[TS LA W 08.05.22 Rang]],$AR$15:$AS$72,2,0)*P$5," ")</f>
        <v xml:space="preserve"> </v>
      </c>
      <c r="Q73" s="128" t="str">
        <f>IFERROR(VLOOKUP(Women[[#This Row],[TS SG O 25.05.22 Rang]],$AU$15:$AV$72,2,0)*Q$5," ")</f>
        <v xml:space="preserve"> </v>
      </c>
      <c r="R73" s="177" t="str">
        <f>IFERROR(VLOOKUP(Women[[#This Row],[TS SG W 25.05.22 Rang]],$AR$15:$AS$72,2,0)*R$5," ")</f>
        <v xml:space="preserve"> </v>
      </c>
      <c r="S73" s="128" t="str">
        <f>IFERROR(VLOOKUP(Women[[#This Row],[TS SH O 25.06.22 Rang]],$AU$15:$AV$72,2,0)*$S$5," ")</f>
        <v xml:space="preserve"> </v>
      </c>
      <c r="T73" s="177">
        <f>IFERROR(VLOOKUP(Women[[#This Row],[TS SH W 25.06.22 Rang]],$AR$15:$AS$72,2,0)*T$5," ")</f>
        <v>30.4</v>
      </c>
      <c r="U73" s="177" t="str">
        <f>IFERROR(VLOOKUP(Women[[#This Row],[TS ZH W 02.07.22 Rang]],$AR$15:$AS$72,2,0)*U$5," ")</f>
        <v xml:space="preserve"> </v>
      </c>
      <c r="V73" s="128" t="str">
        <f>IFERROR(VLOOKUP(Women[[#This Row],[SM BE O/A 09.07.22 Rang]],$AU$15:$AV$72,2,0)*V71," ")</f>
        <v xml:space="preserve"> </v>
      </c>
      <c r="W73" s="128" t="str">
        <f>IFERROR(VLOOKUP(Women[[#This Row],[SM BE O/B 09.07.22 Rang]],$AU$15:$AV$72,2,0)*$W$5," ")</f>
        <v xml:space="preserve"> </v>
      </c>
      <c r="X73" s="177" t="str">
        <f>IFERROR(VLOOKUP(Women[[#This Row],[SM BE W 09.07.22 Rang]],$AR$15:$AS$72,2,0)*X$5," ")</f>
        <v xml:space="preserve"> </v>
      </c>
      <c r="Y73" s="244">
        <v>0</v>
      </c>
      <c r="Z73" s="244">
        <v>0</v>
      </c>
      <c r="AA73" s="244">
        <v>0</v>
      </c>
      <c r="AB73" s="131"/>
      <c r="AC73" s="129"/>
      <c r="AD73" s="129"/>
      <c r="AE73" s="131"/>
      <c r="AF73" s="129"/>
      <c r="AG73" s="131"/>
      <c r="AH73" s="129"/>
      <c r="AI73" s="131"/>
      <c r="AJ73" s="191">
        <v>11</v>
      </c>
      <c r="AK73" s="191"/>
      <c r="AL73" s="282"/>
      <c r="AM73" s="282"/>
      <c r="AN73" s="191"/>
      <c r="AR73" s="47">
        <v>65</v>
      </c>
      <c r="AS73" s="49">
        <v>5</v>
      </c>
      <c r="AU73" s="49">
        <v>65</v>
      </c>
      <c r="AV73" s="49">
        <v>10</v>
      </c>
    </row>
    <row r="74" spans="1:49" x14ac:dyDescent="0.2">
      <c r="A74" s="275"/>
      <c r="B74" s="276">
        <f>IF(Women[[#This Row],[PR Rang beim letzten Turnier]]&gt;Women[[#This Row],[PR Rang]],1,IF(Women[[#This Row],[PR Rang]]=Women[[#This Row],[PR Rang beim letzten Turnier]],0,-1))</f>
        <v>-1</v>
      </c>
      <c r="C74" s="275">
        <f>RANK(Women[[#This Row],[PR Punkte]],Women[PR Punkte],0)</f>
        <v>68</v>
      </c>
      <c r="D74" s="277" t="s">
        <v>629</v>
      </c>
      <c r="E74" s="11" t="s">
        <v>16</v>
      </c>
      <c r="F74" s="261">
        <f>SUM(Women[[#This Row],[PR 1]:[PR 3]])</f>
        <v>26.4</v>
      </c>
      <c r="G74" s="109">
        <f>LARGE(Women[[#This Row],[TS SH O 22.02.22]:[PR3]],1)</f>
        <v>26.4</v>
      </c>
      <c r="H74" s="109">
        <f>LARGE(Women[[#This Row],[TS SH O 22.02.22]:[PR3]],2)</f>
        <v>0</v>
      </c>
      <c r="I74" s="109">
        <f>LARGE(Women[[#This Row],[TS SH O 22.02.22]:[PR3]],3)</f>
        <v>0</v>
      </c>
      <c r="J74" s="86">
        <f>RANK(K74,$K$7:$K$108,0)</f>
        <v>68</v>
      </c>
      <c r="K74" s="258">
        <f>SUM(L74:AA74)</f>
        <v>26.4</v>
      </c>
      <c r="L74" s="279" t="str">
        <f>IFERROR(VLOOKUP(Women[[#This Row],[TS SH O 22.02.22 Rang]],$AU$15:$AV$72,2,0)*L$5," ")</f>
        <v xml:space="preserve"> </v>
      </c>
      <c r="M74" s="278" t="str">
        <f>IFERROR(VLOOKUP(Women[[#This Row],[TS SH W 22.02.22 Rang]],$AR$15:$AS$72,2,0)*M$5," ")</f>
        <v xml:space="preserve"> </v>
      </c>
      <c r="N74" s="278" t="str">
        <f>IFERROR(VLOOKUP(Women[[#This Row],[TS LU W 12.03.22 Rang]],$AR$15:$AS$72,2,0)*N$5," ")</f>
        <v xml:space="preserve"> </v>
      </c>
      <c r="O74" s="279" t="str">
        <f>IFERROR(VLOOKUP(Women[[#This Row],[TS SH O 23.04.22 Rang]],$AU$15:$AV$72,2,0)*O$5," ")</f>
        <v xml:space="preserve"> </v>
      </c>
      <c r="P74" s="278" t="str">
        <f>IFERROR(VLOOKUP(Women[[#This Row],[TS LA W 08.05.22 Rang]],$AR$15:$AS$72,2,0)*P$5," ")</f>
        <v xml:space="preserve"> </v>
      </c>
      <c r="Q74" s="128" t="str">
        <f>IFERROR(VLOOKUP(Women[[#This Row],[TS SG O 25.05.22 Rang]],$AU$15:$AV$72,2,0)*Q$5," ")</f>
        <v xml:space="preserve"> </v>
      </c>
      <c r="R74" s="177" t="str">
        <f>IFERROR(VLOOKUP(Women[[#This Row],[TS SG W 25.05.22 Rang]],$AR$15:$AS$72,2,0)*R$5," ")</f>
        <v xml:space="preserve"> </v>
      </c>
      <c r="S74" s="128" t="str">
        <f>IFERROR(VLOOKUP(Women[[#This Row],[TS SH O 25.06.22 Rang]],$AU$15:$AV$72,2,0)*$S$5," ")</f>
        <v xml:space="preserve"> </v>
      </c>
      <c r="T74" s="177" t="str">
        <f>IFERROR(VLOOKUP(Women[[#This Row],[TS SH W 25.06.22 Rang]],$AR$15:$AS$72,2,0)*T$5," ")</f>
        <v xml:space="preserve"> </v>
      </c>
      <c r="U74" s="177" t="str">
        <f>IFERROR(VLOOKUP(Women[[#This Row],[TS ZH W 02.07.22 Rang]],$AR$15:$AS$72,2,0)*U$5," ")</f>
        <v xml:space="preserve"> </v>
      </c>
      <c r="V74" s="128" t="str">
        <f>IFERROR(VLOOKUP(Women[[#This Row],[SM BE O/A 09.07.22 Rang]],$AU$15:$AV$72,2,0)*V72," ")</f>
        <v xml:space="preserve"> </v>
      </c>
      <c r="W74" s="128" t="str">
        <f>IFERROR(VLOOKUP(Women[[#This Row],[SM BE O/B 09.07.22 Rang]],$AU$15:$AV$72,2,0)*$W$5," ")</f>
        <v xml:space="preserve"> </v>
      </c>
      <c r="X74" s="177">
        <f>IFERROR(VLOOKUP(Women[[#This Row],[SM BE W 09.07.22 Rang]],$AR$15:$AS$72,2,0)*X$5," ")</f>
        <v>26.4</v>
      </c>
      <c r="Y74" s="244">
        <v>0</v>
      </c>
      <c r="Z74" s="244">
        <v>0</v>
      </c>
      <c r="AA74" s="244">
        <v>0</v>
      </c>
      <c r="AB74" s="131"/>
      <c r="AC74" s="129"/>
      <c r="AD74" s="129"/>
      <c r="AE74" s="280"/>
      <c r="AF74" s="263"/>
      <c r="AG74" s="131"/>
      <c r="AH74" s="129"/>
      <c r="AI74" s="131"/>
      <c r="AJ74" s="191"/>
      <c r="AK74" s="191"/>
      <c r="AL74" s="282"/>
      <c r="AM74" s="282"/>
      <c r="AN74" s="129">
        <v>18</v>
      </c>
      <c r="AR74" s="47">
        <v>66</v>
      </c>
      <c r="AS74" s="49">
        <v>5</v>
      </c>
      <c r="AU74" s="50">
        <v>66</v>
      </c>
      <c r="AV74" s="50">
        <v>10</v>
      </c>
    </row>
    <row r="75" spans="1:49" x14ac:dyDescent="0.2">
      <c r="A75" s="225"/>
      <c r="B75" s="198">
        <f>IF(Women[[#This Row],[PR Rang beim letzten Turnier]]&gt;Women[[#This Row],[PR Rang]],1,IF(Women[[#This Row],[PR Rang]]=Women[[#This Row],[PR Rang beim letzten Turnier]],0,-1))</f>
        <v>-1</v>
      </c>
      <c r="C75" s="225">
        <f>RANK(Women[[#This Row],[PR Punkte]],Women[PR Punkte],0)</f>
        <v>68</v>
      </c>
      <c r="D75" s="11" t="s">
        <v>635</v>
      </c>
      <c r="E75" s="11" t="s">
        <v>0</v>
      </c>
      <c r="F75" s="109">
        <f>SUM(Women[[#This Row],[PR 1]:[PR 3]])</f>
        <v>26.4</v>
      </c>
      <c r="G75" s="109">
        <f>LARGE(Women[[#This Row],[TS SH O 22.02.22]:[PR3]],1)</f>
        <v>26.4</v>
      </c>
      <c r="H75" s="109">
        <f>LARGE(Women[[#This Row],[TS SH O 22.02.22]:[PR3]],2)</f>
        <v>0</v>
      </c>
      <c r="I75" s="109">
        <f>LARGE(Women[[#This Row],[TS SH O 22.02.22]:[PR3]],3)</f>
        <v>0</v>
      </c>
      <c r="J75" s="86">
        <f>RANK(K75,$K$7:$K$108,0)</f>
        <v>68</v>
      </c>
      <c r="K75" s="86">
        <f>SUM(L75:AA75)</f>
        <v>26.4</v>
      </c>
      <c r="L75" s="128" t="str">
        <f>IFERROR(VLOOKUP(Women[[#This Row],[TS SH O 22.02.22 Rang]],$AU$15:$AV$72,2,0)*L$5," ")</f>
        <v xml:space="preserve"> </v>
      </c>
      <c r="M75" s="177" t="str">
        <f>IFERROR(VLOOKUP(Women[[#This Row],[TS SH W 22.02.22 Rang]],$AR$15:$AS$72,2,0)*M$5," ")</f>
        <v xml:space="preserve"> </v>
      </c>
      <c r="N75" s="177" t="str">
        <f>IFERROR(VLOOKUP(Women[[#This Row],[TS LU W 12.03.22 Rang]],$AR$15:$AS$72,2,0)*N$5," ")</f>
        <v xml:space="preserve"> </v>
      </c>
      <c r="O75" s="128" t="str">
        <f>IFERROR(VLOOKUP(Women[[#This Row],[TS SH O 23.04.22 Rang]],$AU$15:$AV$72,2,0)*O$5," ")</f>
        <v xml:space="preserve"> </v>
      </c>
      <c r="P75" s="177" t="str">
        <f>IFERROR(VLOOKUP(Women[[#This Row],[TS LA W 08.05.22 Rang]],$AR$15:$AS$72,2,0)*P$5," ")</f>
        <v xml:space="preserve"> </v>
      </c>
      <c r="Q75" s="128" t="str">
        <f>IFERROR(VLOOKUP(Women[[#This Row],[TS SG O 25.05.22 Rang]],$AU$15:$AV$72,2,0)*Q$5," ")</f>
        <v xml:space="preserve"> </v>
      </c>
      <c r="R75" s="177" t="str">
        <f>IFERROR(VLOOKUP(Women[[#This Row],[TS SG W 25.05.22 Rang]],$AR$15:$AS$72,2,0)*R$5," ")</f>
        <v xml:space="preserve"> </v>
      </c>
      <c r="S75" s="128" t="str">
        <f>IFERROR(VLOOKUP(Women[[#This Row],[TS SH O 25.06.22 Rang]],$AU$15:$AV$72,2,0)*$S$5," ")</f>
        <v xml:space="preserve"> </v>
      </c>
      <c r="T75" s="177" t="str">
        <f>IFERROR(VLOOKUP(Women[[#This Row],[TS SH W 25.06.22 Rang]],$AR$15:$AS$72,2,0)*T$5," ")</f>
        <v xml:space="preserve"> </v>
      </c>
      <c r="U75" s="177" t="str">
        <f>IFERROR(VLOOKUP(Women[[#This Row],[TS ZH W 02.07.22 Rang]],$AR$15:$AS$72,2,0)*U$5," ")</f>
        <v xml:space="preserve"> </v>
      </c>
      <c r="V75" s="128" t="str">
        <f>IFERROR(VLOOKUP(Women[[#This Row],[SM BE O/A 09.07.22 Rang]],$AU$15:$AV$72,2,0)*V73," ")</f>
        <v xml:space="preserve"> </v>
      </c>
      <c r="W75" s="128" t="str">
        <f>IFERROR(VLOOKUP(Women[[#This Row],[SM BE O/B 09.07.22 Rang]],$AU$15:$AV$72,2,0)*$W$5," ")</f>
        <v xml:space="preserve"> </v>
      </c>
      <c r="X75" s="177">
        <f>IFERROR(VLOOKUP(Women[[#This Row],[SM BE W 09.07.22 Rang]],$AR$15:$AS$72,2,0)*X$5," ")</f>
        <v>26.4</v>
      </c>
      <c r="Y75" s="244">
        <v>0</v>
      </c>
      <c r="Z75" s="244">
        <v>0</v>
      </c>
      <c r="AA75" s="244">
        <v>0</v>
      </c>
      <c r="AB75" s="131"/>
      <c r="AC75" s="129"/>
      <c r="AD75" s="129"/>
      <c r="AE75" s="280"/>
      <c r="AF75" s="263"/>
      <c r="AG75" s="131"/>
      <c r="AH75" s="129"/>
      <c r="AI75" s="131"/>
      <c r="AJ75" s="191"/>
      <c r="AK75" s="191"/>
      <c r="AL75" s="282"/>
      <c r="AM75" s="282"/>
      <c r="AN75" s="129">
        <v>19</v>
      </c>
      <c r="AR75" s="47">
        <v>67</v>
      </c>
      <c r="AS75" s="49">
        <v>5</v>
      </c>
      <c r="AU75" s="49">
        <v>67</v>
      </c>
      <c r="AV75" s="49">
        <v>10</v>
      </c>
    </row>
    <row r="76" spans="1:49" x14ac:dyDescent="0.2">
      <c r="A76" s="275"/>
      <c r="B76" s="276">
        <f>IF(Women[[#This Row],[PR Rang beim letzten Turnier]]&gt;Women[[#This Row],[PR Rang]],1,IF(Women[[#This Row],[PR Rang]]=Women[[#This Row],[PR Rang beim letzten Turnier]],0,-1))</f>
        <v>-1</v>
      </c>
      <c r="C76" s="275">
        <f>RANK(Women[[#This Row],[PR Punkte]],Women[PR Punkte],0)</f>
        <v>68</v>
      </c>
      <c r="D76" s="277" t="s">
        <v>630</v>
      </c>
      <c r="E76" s="11" t="s">
        <v>8</v>
      </c>
      <c r="F76" s="261">
        <f>SUM(Women[[#This Row],[PR 1]:[PR 3]])</f>
        <v>26.4</v>
      </c>
      <c r="G76" s="109">
        <f>LARGE(Women[[#This Row],[TS SH O 22.02.22]:[PR3]],1)</f>
        <v>26.4</v>
      </c>
      <c r="H76" s="109">
        <f>LARGE(Women[[#This Row],[TS SH O 22.02.22]:[PR3]],2)</f>
        <v>0</v>
      </c>
      <c r="I76" s="109">
        <f>LARGE(Women[[#This Row],[TS SH O 22.02.22]:[PR3]],3)</f>
        <v>0</v>
      </c>
      <c r="J76" s="86">
        <f>RANK(K76,$K$7:$K$108,0)</f>
        <v>68</v>
      </c>
      <c r="K76" s="258">
        <f>SUM(L76:AA76)</f>
        <v>26.4</v>
      </c>
      <c r="L76" s="279" t="str">
        <f>IFERROR(VLOOKUP(Women[[#This Row],[TS SH O 22.02.22 Rang]],$AU$15:$AV$72,2,0)*L$5," ")</f>
        <v xml:space="preserve"> </v>
      </c>
      <c r="M76" s="278" t="str">
        <f>IFERROR(VLOOKUP(Women[[#This Row],[TS SH W 22.02.22 Rang]],$AR$15:$AS$72,2,0)*M$5," ")</f>
        <v xml:space="preserve"> </v>
      </c>
      <c r="N76" s="278" t="str">
        <f>IFERROR(VLOOKUP(Women[[#This Row],[TS LU W 12.03.22 Rang]],$AR$15:$AS$72,2,0)*N$5," ")</f>
        <v xml:space="preserve"> </v>
      </c>
      <c r="O76" s="279" t="str">
        <f>IFERROR(VLOOKUP(Women[[#This Row],[TS SH O 23.04.22 Rang]],$AU$15:$AV$72,2,0)*O$5," ")</f>
        <v xml:space="preserve"> </v>
      </c>
      <c r="P76" s="278" t="str">
        <f>IFERROR(VLOOKUP(Women[[#This Row],[TS LA W 08.05.22 Rang]],$AR$15:$AS$72,2,0)*P$5," ")</f>
        <v xml:space="preserve"> </v>
      </c>
      <c r="Q76" s="128" t="str">
        <f>IFERROR(VLOOKUP(Women[[#This Row],[TS SG O 25.05.22 Rang]],$AU$15:$AV$72,2,0)*Q$5," ")</f>
        <v xml:space="preserve"> </v>
      </c>
      <c r="R76" s="177" t="str">
        <f>IFERROR(VLOOKUP(Women[[#This Row],[TS SG W 25.05.22 Rang]],$AR$15:$AS$72,2,0)*R$5," ")</f>
        <v xml:space="preserve"> </v>
      </c>
      <c r="S76" s="128" t="str">
        <f>IFERROR(VLOOKUP(Women[[#This Row],[TS SH O 25.06.22 Rang]],$AU$15:$AV$72,2,0)*$S$5," ")</f>
        <v xml:space="preserve"> </v>
      </c>
      <c r="T76" s="177" t="str">
        <f>IFERROR(VLOOKUP(Women[[#This Row],[TS SH W 25.06.22 Rang]],$AR$15:$AS$72,2,0)*T$5," ")</f>
        <v xml:space="preserve"> </v>
      </c>
      <c r="U76" s="177" t="str">
        <f>IFERROR(VLOOKUP(Women[[#This Row],[TS ZH W 02.07.22 Rang]],$AR$15:$AS$72,2,0)*U$5," ")</f>
        <v xml:space="preserve"> </v>
      </c>
      <c r="V76" s="128" t="str">
        <f>IFERROR(VLOOKUP(Women[[#This Row],[SM BE O/A 09.07.22 Rang]],$AU$15:$AV$72,2,0)*V74," ")</f>
        <v xml:space="preserve"> </v>
      </c>
      <c r="W76" s="128" t="str">
        <f>IFERROR(VLOOKUP(Women[[#This Row],[SM BE O/B 09.07.22 Rang]],$AU$15:$AV$72,2,0)*$W$5," ")</f>
        <v xml:space="preserve"> </v>
      </c>
      <c r="X76" s="177">
        <f>IFERROR(VLOOKUP(Women[[#This Row],[SM BE W 09.07.22 Rang]],$AR$15:$AS$72,2,0)*X$5," ")</f>
        <v>26.4</v>
      </c>
      <c r="Y76" s="244">
        <v>0</v>
      </c>
      <c r="Z76" s="244">
        <v>0</v>
      </c>
      <c r="AA76" s="244">
        <v>0</v>
      </c>
      <c r="AB76" s="131"/>
      <c r="AC76" s="129"/>
      <c r="AD76" s="129"/>
      <c r="AE76" s="280"/>
      <c r="AF76" s="263"/>
      <c r="AG76" s="131"/>
      <c r="AH76" s="129"/>
      <c r="AI76" s="131"/>
      <c r="AJ76" s="191"/>
      <c r="AK76" s="191"/>
      <c r="AL76" s="282"/>
      <c r="AM76" s="282"/>
      <c r="AN76" s="129">
        <v>20</v>
      </c>
      <c r="AR76" s="47">
        <v>68</v>
      </c>
      <c r="AS76" s="49">
        <v>5</v>
      </c>
      <c r="AU76" s="49">
        <v>68</v>
      </c>
      <c r="AV76" s="49">
        <v>10</v>
      </c>
    </row>
    <row r="77" spans="1:49" x14ac:dyDescent="0.2">
      <c r="A77" s="275"/>
      <c r="B77" s="276">
        <f>IF(Women[[#This Row],[PR Rang beim letzten Turnier]]&gt;Women[[#This Row],[PR Rang]],1,IF(Women[[#This Row],[PR Rang]]=Women[[#This Row],[PR Rang beim letzten Turnier]],0,-1))</f>
        <v>-1</v>
      </c>
      <c r="C77" s="275">
        <f>RANK(Women[[#This Row],[PR Punkte]],Women[PR Punkte],0)</f>
        <v>68</v>
      </c>
      <c r="D77" s="277" t="s">
        <v>631</v>
      </c>
      <c r="E77" s="11" t="s">
        <v>10</v>
      </c>
      <c r="F77" s="261">
        <f>SUM(Women[[#This Row],[PR 1]:[PR 3]])</f>
        <v>26.4</v>
      </c>
      <c r="G77" s="109">
        <f>LARGE(Women[[#This Row],[TS SH O 22.02.22]:[PR3]],1)</f>
        <v>26.4</v>
      </c>
      <c r="H77" s="109">
        <f>LARGE(Women[[#This Row],[TS SH O 22.02.22]:[PR3]],2)</f>
        <v>0</v>
      </c>
      <c r="I77" s="109">
        <f>LARGE(Women[[#This Row],[TS SH O 22.02.22]:[PR3]],3)</f>
        <v>0</v>
      </c>
      <c r="J77" s="86">
        <f>RANK(K77,$K$7:$K$108,0)</f>
        <v>68</v>
      </c>
      <c r="K77" s="258">
        <f>SUM(L77:AA77)</f>
        <v>26.4</v>
      </c>
      <c r="L77" s="279" t="str">
        <f>IFERROR(VLOOKUP(Women[[#This Row],[TS SH O 22.02.22 Rang]],$AU$15:$AV$72,2,0)*L$5," ")</f>
        <v xml:space="preserve"> </v>
      </c>
      <c r="M77" s="278" t="str">
        <f>IFERROR(VLOOKUP(Women[[#This Row],[TS SH W 22.02.22 Rang]],$AR$15:$AS$72,2,0)*M$5," ")</f>
        <v xml:space="preserve"> </v>
      </c>
      <c r="N77" s="278" t="str">
        <f>IFERROR(VLOOKUP(Women[[#This Row],[TS LU W 12.03.22 Rang]],$AR$15:$AS$72,2,0)*N$5," ")</f>
        <v xml:space="preserve"> </v>
      </c>
      <c r="O77" s="279" t="str">
        <f>IFERROR(VLOOKUP(Women[[#This Row],[TS SH O 23.04.22 Rang]],$AU$15:$AV$72,2,0)*O$5," ")</f>
        <v xml:space="preserve"> </v>
      </c>
      <c r="P77" s="278" t="str">
        <f>IFERROR(VLOOKUP(Women[[#This Row],[TS LA W 08.05.22 Rang]],$AR$15:$AS$72,2,0)*P$5," ")</f>
        <v xml:space="preserve"> </v>
      </c>
      <c r="Q77" s="128" t="str">
        <f>IFERROR(VLOOKUP(Women[[#This Row],[TS SG O 25.05.22 Rang]],$AU$15:$AV$72,2,0)*Q$5," ")</f>
        <v xml:space="preserve"> </v>
      </c>
      <c r="R77" s="177" t="str">
        <f>IFERROR(VLOOKUP(Women[[#This Row],[TS SG W 25.05.22 Rang]],$AR$15:$AS$72,2,0)*R$5," ")</f>
        <v xml:space="preserve"> </v>
      </c>
      <c r="S77" s="128" t="str">
        <f>IFERROR(VLOOKUP(Women[[#This Row],[TS SH O 25.06.22 Rang]],$AU$15:$AV$72,2,0)*$S$5," ")</f>
        <v xml:space="preserve"> </v>
      </c>
      <c r="T77" s="177" t="str">
        <f>IFERROR(VLOOKUP(Women[[#This Row],[TS SH W 25.06.22 Rang]],$AR$15:$AS$72,2,0)*T$5," ")</f>
        <v xml:space="preserve"> </v>
      </c>
      <c r="U77" s="177" t="str">
        <f>IFERROR(VLOOKUP(Women[[#This Row],[TS ZH W 02.07.22 Rang]],$AR$15:$AS$72,2,0)*U$5," ")</f>
        <v xml:space="preserve"> </v>
      </c>
      <c r="V77" s="128" t="str">
        <f>IFERROR(VLOOKUP(Women[[#This Row],[SM BE O/A 09.07.22 Rang]],$AU$15:$AV$72,2,0)*V75," ")</f>
        <v xml:space="preserve"> </v>
      </c>
      <c r="W77" s="128" t="str">
        <f>IFERROR(VLOOKUP(Women[[#This Row],[SM BE O/B 09.07.22 Rang]],$AU$15:$AV$72,2,0)*$W$5," ")</f>
        <v xml:space="preserve"> </v>
      </c>
      <c r="X77" s="177">
        <f>IFERROR(VLOOKUP(Women[[#This Row],[SM BE W 09.07.22 Rang]],$AR$15:$AS$72,2,0)*X$5," ")</f>
        <v>26.4</v>
      </c>
      <c r="Y77" s="244">
        <v>0</v>
      </c>
      <c r="Z77" s="244">
        <v>0</v>
      </c>
      <c r="AA77" s="244">
        <v>0</v>
      </c>
      <c r="AB77" s="131"/>
      <c r="AC77" s="129"/>
      <c r="AD77" s="129"/>
      <c r="AE77" s="280"/>
      <c r="AF77" s="263"/>
      <c r="AG77" s="131"/>
      <c r="AH77" s="129"/>
      <c r="AI77" s="131"/>
      <c r="AJ77" s="191"/>
      <c r="AK77" s="191"/>
      <c r="AL77" s="282"/>
      <c r="AM77" s="282"/>
      <c r="AN77" s="129">
        <v>22</v>
      </c>
      <c r="AR77" s="47">
        <v>69</v>
      </c>
      <c r="AS77" s="49">
        <v>5</v>
      </c>
      <c r="AU77" s="49">
        <v>69</v>
      </c>
      <c r="AV77" s="49">
        <v>10</v>
      </c>
    </row>
    <row r="78" spans="1:49" x14ac:dyDescent="0.2">
      <c r="A78" s="275"/>
      <c r="B78" s="276">
        <f>IF(Women[[#This Row],[PR Rang beim letzten Turnier]]&gt;Women[[#This Row],[PR Rang]],1,IF(Women[[#This Row],[PR Rang]]=Women[[#This Row],[PR Rang beim letzten Turnier]],0,-1))</f>
        <v>-1</v>
      </c>
      <c r="C78" s="275">
        <f>RANK(Women[[#This Row],[PR Punkte]],Women[PR Punkte],0)</f>
        <v>68</v>
      </c>
      <c r="D78" s="277" t="s">
        <v>632</v>
      </c>
      <c r="E78" s="11" t="s">
        <v>8</v>
      </c>
      <c r="F78" s="261">
        <f>SUM(Women[[#This Row],[PR 1]:[PR 3]])</f>
        <v>26.4</v>
      </c>
      <c r="G78" s="109">
        <f>LARGE(Women[[#This Row],[TS SH O 22.02.22]:[PR3]],1)</f>
        <v>26.4</v>
      </c>
      <c r="H78" s="109">
        <f>LARGE(Women[[#This Row],[TS SH O 22.02.22]:[PR3]],2)</f>
        <v>0</v>
      </c>
      <c r="I78" s="109">
        <f>LARGE(Women[[#This Row],[TS SH O 22.02.22]:[PR3]],3)</f>
        <v>0</v>
      </c>
      <c r="J78" s="86">
        <f>RANK(K78,$K$7:$K$108,0)</f>
        <v>68</v>
      </c>
      <c r="K78" s="258">
        <f>SUM(L78:AA78)</f>
        <v>26.4</v>
      </c>
      <c r="L78" s="279" t="str">
        <f>IFERROR(VLOOKUP(Women[[#This Row],[TS SH O 22.02.22 Rang]],$AU$15:$AV$72,2,0)*L$5," ")</f>
        <v xml:space="preserve"> </v>
      </c>
      <c r="M78" s="278" t="str">
        <f>IFERROR(VLOOKUP(Women[[#This Row],[TS SH W 22.02.22 Rang]],$AR$15:$AS$72,2,0)*M$5," ")</f>
        <v xml:space="preserve"> </v>
      </c>
      <c r="N78" s="278" t="str">
        <f>IFERROR(VLOOKUP(Women[[#This Row],[TS LU W 12.03.22 Rang]],$AR$15:$AS$72,2,0)*N$5," ")</f>
        <v xml:space="preserve"> </v>
      </c>
      <c r="O78" s="279" t="str">
        <f>IFERROR(VLOOKUP(Women[[#This Row],[TS SH O 23.04.22 Rang]],$AU$15:$AV$72,2,0)*O$5," ")</f>
        <v xml:space="preserve"> </v>
      </c>
      <c r="P78" s="278" t="str">
        <f>IFERROR(VLOOKUP(Women[[#This Row],[TS LA W 08.05.22 Rang]],$AR$15:$AS$72,2,0)*P$5," ")</f>
        <v xml:space="preserve"> </v>
      </c>
      <c r="Q78" s="128" t="str">
        <f>IFERROR(VLOOKUP(Women[[#This Row],[TS SG O 25.05.22 Rang]],$AU$15:$AV$72,2,0)*Q$5," ")</f>
        <v xml:space="preserve"> </v>
      </c>
      <c r="R78" s="177" t="str">
        <f>IFERROR(VLOOKUP(Women[[#This Row],[TS SG W 25.05.22 Rang]],$AR$15:$AS$72,2,0)*R$5," ")</f>
        <v xml:space="preserve"> </v>
      </c>
      <c r="S78" s="128" t="str">
        <f>IFERROR(VLOOKUP(Women[[#This Row],[TS SH O 25.06.22 Rang]],$AU$15:$AV$72,2,0)*$S$5," ")</f>
        <v xml:space="preserve"> </v>
      </c>
      <c r="T78" s="177" t="str">
        <f>IFERROR(VLOOKUP(Women[[#This Row],[TS SH W 25.06.22 Rang]],$AR$15:$AS$72,2,0)*T$5," ")</f>
        <v xml:space="preserve"> </v>
      </c>
      <c r="U78" s="177" t="str">
        <f>IFERROR(VLOOKUP(Women[[#This Row],[TS ZH W 02.07.22 Rang]],$AR$15:$AS$72,2,0)*U$5," ")</f>
        <v xml:space="preserve"> </v>
      </c>
      <c r="V78" s="128" t="str">
        <f>IFERROR(VLOOKUP(Women[[#This Row],[SM BE O/A 09.07.22 Rang]],$AU$15:$AV$72,2,0)*V76," ")</f>
        <v xml:space="preserve"> </v>
      </c>
      <c r="W78" s="128" t="str">
        <f>IFERROR(VLOOKUP(Women[[#This Row],[SM BE O/B 09.07.22 Rang]],$AU$15:$AV$72,2,0)*$W$5," ")</f>
        <v xml:space="preserve"> </v>
      </c>
      <c r="X78" s="177">
        <f>IFERROR(VLOOKUP(Women[[#This Row],[SM BE W 09.07.22 Rang]],$AR$15:$AS$72,2,0)*X$5," ")</f>
        <v>26.4</v>
      </c>
      <c r="Y78" s="244">
        <v>0</v>
      </c>
      <c r="Z78" s="244">
        <v>0</v>
      </c>
      <c r="AA78" s="244">
        <v>0</v>
      </c>
      <c r="AB78" s="131"/>
      <c r="AC78" s="129"/>
      <c r="AD78" s="129"/>
      <c r="AE78" s="280"/>
      <c r="AF78" s="263"/>
      <c r="AG78" s="131"/>
      <c r="AH78" s="129"/>
      <c r="AI78" s="131"/>
      <c r="AJ78" s="191"/>
      <c r="AK78" s="191"/>
      <c r="AL78" s="282"/>
      <c r="AM78" s="282"/>
      <c r="AN78" s="129">
        <v>23</v>
      </c>
      <c r="AR78" s="47">
        <v>70</v>
      </c>
      <c r="AS78" s="49">
        <v>5</v>
      </c>
      <c r="AU78" s="49">
        <v>70</v>
      </c>
      <c r="AV78" s="49">
        <v>10</v>
      </c>
    </row>
    <row r="79" spans="1:49" x14ac:dyDescent="0.2">
      <c r="A79" s="275"/>
      <c r="B79" s="276">
        <f>IF(Women[[#This Row],[PR Rang beim letzten Turnier]]&gt;Women[[#This Row],[PR Rang]],1,IF(Women[[#This Row],[PR Rang]]=Women[[#This Row],[PR Rang beim letzten Turnier]],0,-1))</f>
        <v>-1</v>
      </c>
      <c r="C79" s="275">
        <f>RANK(Women[[#This Row],[PR Punkte]],Women[PR Punkte],0)</f>
        <v>68</v>
      </c>
      <c r="D79" s="277" t="s">
        <v>633</v>
      </c>
      <c r="E79" s="11" t="s">
        <v>11</v>
      </c>
      <c r="F79" s="261">
        <f>SUM(Women[[#This Row],[PR 1]:[PR 3]])</f>
        <v>26.4</v>
      </c>
      <c r="G79" s="109">
        <f>LARGE(Women[[#This Row],[TS SH O 22.02.22]:[PR3]],1)</f>
        <v>26.4</v>
      </c>
      <c r="H79" s="109">
        <f>LARGE(Women[[#This Row],[TS SH O 22.02.22]:[PR3]],2)</f>
        <v>0</v>
      </c>
      <c r="I79" s="109">
        <f>LARGE(Women[[#This Row],[TS SH O 22.02.22]:[PR3]],3)</f>
        <v>0</v>
      </c>
      <c r="J79" s="86">
        <f>RANK(K79,$K$7:$K$108,0)</f>
        <v>68</v>
      </c>
      <c r="K79" s="258">
        <f>SUM(L79:AA79)</f>
        <v>26.4</v>
      </c>
      <c r="L79" s="279" t="str">
        <f>IFERROR(VLOOKUP(Women[[#This Row],[TS SH O 22.02.22 Rang]],$AU$15:$AV$72,2,0)*L$5," ")</f>
        <v xml:space="preserve"> </v>
      </c>
      <c r="M79" s="278" t="str">
        <f>IFERROR(VLOOKUP(Women[[#This Row],[TS SH W 22.02.22 Rang]],$AR$15:$AS$72,2,0)*M$5," ")</f>
        <v xml:space="preserve"> </v>
      </c>
      <c r="N79" s="278" t="str">
        <f>IFERROR(VLOOKUP(Women[[#This Row],[TS LU W 12.03.22 Rang]],$AR$15:$AS$72,2,0)*N$5," ")</f>
        <v xml:space="preserve"> </v>
      </c>
      <c r="O79" s="279" t="str">
        <f>IFERROR(VLOOKUP(Women[[#This Row],[TS SH O 23.04.22 Rang]],$AU$15:$AV$72,2,0)*O$5," ")</f>
        <v xml:space="preserve"> </v>
      </c>
      <c r="P79" s="278" t="str">
        <f>IFERROR(VLOOKUP(Women[[#This Row],[TS LA W 08.05.22 Rang]],$AR$15:$AS$72,2,0)*P$5," ")</f>
        <v xml:space="preserve"> </v>
      </c>
      <c r="Q79" s="128" t="str">
        <f>IFERROR(VLOOKUP(Women[[#This Row],[TS SG O 25.05.22 Rang]],$AU$15:$AV$72,2,0)*Q$5," ")</f>
        <v xml:space="preserve"> </v>
      </c>
      <c r="R79" s="177" t="str">
        <f>IFERROR(VLOOKUP(Women[[#This Row],[TS SG W 25.05.22 Rang]],$AR$15:$AS$72,2,0)*R$5," ")</f>
        <v xml:space="preserve"> </v>
      </c>
      <c r="S79" s="128" t="str">
        <f>IFERROR(VLOOKUP(Women[[#This Row],[TS SH O 25.06.22 Rang]],$AU$15:$AV$72,2,0)*$S$5," ")</f>
        <v xml:space="preserve"> </v>
      </c>
      <c r="T79" s="177" t="str">
        <f>IFERROR(VLOOKUP(Women[[#This Row],[TS SH W 25.06.22 Rang]],$AR$15:$AS$72,2,0)*T$5," ")</f>
        <v xml:space="preserve"> </v>
      </c>
      <c r="U79" s="177" t="str">
        <f>IFERROR(VLOOKUP(Women[[#This Row],[TS ZH W 02.07.22 Rang]],$AR$15:$AS$72,2,0)*U$5," ")</f>
        <v xml:space="preserve"> </v>
      </c>
      <c r="V79" s="128" t="str">
        <f>IFERROR(VLOOKUP(Women[[#This Row],[SM BE O/A 09.07.22 Rang]],$AU$15:$AV$72,2,0)*V77," ")</f>
        <v xml:space="preserve"> </v>
      </c>
      <c r="W79" s="128" t="str">
        <f>IFERROR(VLOOKUP(Women[[#This Row],[SM BE O/B 09.07.22 Rang]],$AU$15:$AV$72,2,0)*$W$5," ")</f>
        <v xml:space="preserve"> </v>
      </c>
      <c r="X79" s="177">
        <f>IFERROR(VLOOKUP(Women[[#This Row],[SM BE W 09.07.22 Rang]],$AR$15:$AS$72,2,0)*X$5," ")</f>
        <v>26.4</v>
      </c>
      <c r="Y79" s="244">
        <v>0</v>
      </c>
      <c r="Z79" s="244">
        <v>0</v>
      </c>
      <c r="AA79" s="244">
        <v>0</v>
      </c>
      <c r="AB79" s="131"/>
      <c r="AC79" s="129"/>
      <c r="AD79" s="129"/>
      <c r="AE79" s="280"/>
      <c r="AF79" s="263"/>
      <c r="AG79" s="131"/>
      <c r="AH79" s="129"/>
      <c r="AI79" s="131"/>
      <c r="AJ79" s="191"/>
      <c r="AK79" s="191"/>
      <c r="AL79" s="282"/>
      <c r="AM79" s="282"/>
      <c r="AN79" s="129">
        <v>24</v>
      </c>
      <c r="AR79" s="47">
        <v>71</v>
      </c>
      <c r="AS79" s="49">
        <v>5</v>
      </c>
      <c r="AU79" s="49">
        <v>71</v>
      </c>
      <c r="AV79" s="49">
        <v>10</v>
      </c>
    </row>
    <row r="80" spans="1:49" x14ac:dyDescent="0.2">
      <c r="A80" s="275"/>
      <c r="B80" s="276">
        <f>IF(Women[[#This Row],[PR Rang beim letzten Turnier]]&gt;Women[[#This Row],[PR Rang]],1,IF(Women[[#This Row],[PR Rang]]=Women[[#This Row],[PR Rang beim letzten Turnier]],0,-1))</f>
        <v>-1</v>
      </c>
      <c r="C80" s="275">
        <f>RANK(Women[[#This Row],[PR Punkte]],Women[PR Punkte],0)</f>
        <v>68</v>
      </c>
      <c r="D80" s="277" t="s">
        <v>634</v>
      </c>
      <c r="E80" s="11" t="s">
        <v>11</v>
      </c>
      <c r="F80" s="261">
        <f>SUM(Women[[#This Row],[PR 1]:[PR 3]])</f>
        <v>26.4</v>
      </c>
      <c r="G80" s="109">
        <f>LARGE(Women[[#This Row],[TS SH O 22.02.22]:[PR3]],1)</f>
        <v>26.4</v>
      </c>
      <c r="H80" s="109">
        <f>LARGE(Women[[#This Row],[TS SH O 22.02.22]:[PR3]],2)</f>
        <v>0</v>
      </c>
      <c r="I80" s="109">
        <f>LARGE(Women[[#This Row],[TS SH O 22.02.22]:[PR3]],3)</f>
        <v>0</v>
      </c>
      <c r="J80" s="86">
        <f>RANK(K80,$K$7:$K$108,0)</f>
        <v>68</v>
      </c>
      <c r="K80" s="258">
        <f>SUM(L80:AA80)</f>
        <v>26.4</v>
      </c>
      <c r="L80" s="279" t="str">
        <f>IFERROR(VLOOKUP(Women[[#This Row],[TS SH O 22.02.22 Rang]],$AU$15:$AV$72,2,0)*L$5," ")</f>
        <v xml:space="preserve"> </v>
      </c>
      <c r="M80" s="278" t="str">
        <f>IFERROR(VLOOKUP(Women[[#This Row],[TS SH W 22.02.22 Rang]],$AR$15:$AS$72,2,0)*M$5," ")</f>
        <v xml:space="preserve"> </v>
      </c>
      <c r="N80" s="278" t="str">
        <f>IFERROR(VLOOKUP(Women[[#This Row],[TS LU W 12.03.22 Rang]],$AR$15:$AS$72,2,0)*N$5," ")</f>
        <v xml:space="preserve"> </v>
      </c>
      <c r="O80" s="279" t="str">
        <f>IFERROR(VLOOKUP(Women[[#This Row],[TS SH O 23.04.22 Rang]],$AU$15:$AV$72,2,0)*O$5," ")</f>
        <v xml:space="preserve"> </v>
      </c>
      <c r="P80" s="278" t="str">
        <f>IFERROR(VLOOKUP(Women[[#This Row],[TS LA W 08.05.22 Rang]],$AR$15:$AS$72,2,0)*P$5," ")</f>
        <v xml:space="preserve"> </v>
      </c>
      <c r="Q80" s="128" t="str">
        <f>IFERROR(VLOOKUP(Women[[#This Row],[TS SG O 25.05.22 Rang]],$AU$15:$AV$72,2,0)*Q$5," ")</f>
        <v xml:space="preserve"> </v>
      </c>
      <c r="R80" s="177" t="str">
        <f>IFERROR(VLOOKUP(Women[[#This Row],[TS SG W 25.05.22 Rang]],$AR$15:$AS$72,2,0)*R$5," ")</f>
        <v xml:space="preserve"> </v>
      </c>
      <c r="S80" s="128" t="str">
        <f>IFERROR(VLOOKUP(Women[[#This Row],[TS SH O 25.06.22 Rang]],$AU$15:$AV$72,2,0)*$S$5," ")</f>
        <v xml:space="preserve"> </v>
      </c>
      <c r="T80" s="177" t="str">
        <f>IFERROR(VLOOKUP(Women[[#This Row],[TS SH W 25.06.22 Rang]],$AR$15:$AS$72,2,0)*T$5," ")</f>
        <v xml:space="preserve"> </v>
      </c>
      <c r="U80" s="177" t="str">
        <f>IFERROR(VLOOKUP(Women[[#This Row],[TS ZH W 02.07.22 Rang]],$AR$15:$AS$72,2,0)*U$5," ")</f>
        <v xml:space="preserve"> </v>
      </c>
      <c r="V80" s="128" t="str">
        <f>IFERROR(VLOOKUP(Women[[#This Row],[SM BE O/A 09.07.22 Rang]],$AU$15:$AV$72,2,0)*V78," ")</f>
        <v xml:space="preserve"> </v>
      </c>
      <c r="W80" s="128" t="str">
        <f>IFERROR(VLOOKUP(Women[[#This Row],[SM BE O/B 09.07.22 Rang]],$AU$15:$AV$72,2,0)*$W$5," ")</f>
        <v xml:space="preserve"> </v>
      </c>
      <c r="X80" s="177">
        <f>IFERROR(VLOOKUP(Women[[#This Row],[SM BE W 09.07.22 Rang]],$AR$15:$AS$72,2,0)*X$5," ")</f>
        <v>26.4</v>
      </c>
      <c r="Y80" s="244">
        <v>0</v>
      </c>
      <c r="Z80" s="244">
        <v>0</v>
      </c>
      <c r="AA80" s="244">
        <v>0</v>
      </c>
      <c r="AB80" s="131"/>
      <c r="AC80" s="129"/>
      <c r="AD80" s="129"/>
      <c r="AE80" s="280"/>
      <c r="AF80" s="263"/>
      <c r="AG80" s="131"/>
      <c r="AH80" s="129"/>
      <c r="AI80" s="131"/>
      <c r="AJ80" s="191"/>
      <c r="AK80" s="191"/>
      <c r="AL80" s="282"/>
      <c r="AM80" s="282"/>
      <c r="AN80" s="129">
        <v>24</v>
      </c>
      <c r="AR80" s="47">
        <v>72</v>
      </c>
      <c r="AS80" s="49">
        <v>5</v>
      </c>
      <c r="AU80" s="50">
        <v>72</v>
      </c>
      <c r="AV80" s="50">
        <v>10</v>
      </c>
    </row>
    <row r="81" spans="1:48" x14ac:dyDescent="0.2">
      <c r="A81" s="112">
        <v>13</v>
      </c>
      <c r="B81" s="17">
        <f>IF(Women[[#This Row],[PR Rang beim letzten Turnier]]&gt;Women[[#This Row],[PR Rang]],1,IF(Women[[#This Row],[PR Rang]]=Women[[#This Row],[PR Rang beim letzten Turnier]],0,-1))</f>
        <v>-1</v>
      </c>
      <c r="C81" s="112">
        <f>RANK(Women[[#This Row],[PR Punkte]],Women[PR Punkte],0)</f>
        <v>76</v>
      </c>
      <c r="D81" s="43" t="s">
        <v>386</v>
      </c>
      <c r="E81" s="11" t="s">
        <v>18</v>
      </c>
      <c r="F81" s="177">
        <f>SUM(Women[[#This Row],[PR 1]:[PR 3]])</f>
        <v>0</v>
      </c>
      <c r="G81" s="109">
        <f>LARGE(Women[[#This Row],[TS SH O 22.02.22]:[PR3]],1)</f>
        <v>0</v>
      </c>
      <c r="H81" s="109">
        <f>LARGE(Women[[#This Row],[TS SH O 22.02.22]:[PR3]],2)</f>
        <v>0</v>
      </c>
      <c r="I81" s="109">
        <f>LARGE(Women[[#This Row],[TS SH O 22.02.22]:[PR3]],3)</f>
        <v>0</v>
      </c>
      <c r="J81" s="11">
        <f>RANK(K81,$K$7:$K$108,0)</f>
        <v>76</v>
      </c>
      <c r="K81" s="109">
        <f>SUM(L81:AA81)</f>
        <v>0</v>
      </c>
      <c r="L81" s="128" t="str">
        <f>IFERROR(VLOOKUP(Women[[#This Row],[TS SH O 22.02.22 Rang]],$AU$15:$AV$72,2,0)*L$5," ")</f>
        <v xml:space="preserve"> </v>
      </c>
      <c r="M81" s="109" t="str">
        <f>IFERROR(VLOOKUP(Women[[#This Row],[TS SH W 22.02.22 Rang]],$AR$15:$AS$72,2,0)*M$5," ")</f>
        <v xml:space="preserve"> </v>
      </c>
      <c r="N81" s="109" t="str">
        <f>IFERROR(VLOOKUP(Women[[#This Row],[TS LU W 12.03.22 Rang]],$AR$15:$AS$72,2,0)*N$5," ")</f>
        <v xml:space="preserve"> </v>
      </c>
      <c r="O81" s="128" t="str">
        <f>IFERROR(VLOOKUP(Women[[#This Row],[TS SH O 23.04.22 Rang]],$AU$15:$AV$72,2,0)*O$5," ")</f>
        <v xml:space="preserve"> </v>
      </c>
      <c r="P81" s="177" t="str">
        <f>IFERROR(VLOOKUP(Women[[#This Row],[TS LA W 08.05.22 Rang]],$AR$15:$AS$72,2,0)*P$5," ")</f>
        <v xml:space="preserve"> </v>
      </c>
      <c r="Q81" s="128" t="str">
        <f>IFERROR(VLOOKUP(Women[[#This Row],[TS SG O 25.05.22 Rang]],$AU$15:$AV$72,2,0)*Q$5," ")</f>
        <v xml:space="preserve"> </v>
      </c>
      <c r="R81" s="177" t="str">
        <f>IFERROR(VLOOKUP(Women[[#This Row],[TS SG W 25.05.22 Rang]],$AR$15:$AS$72,2,0)*R$5," ")</f>
        <v xml:space="preserve"> </v>
      </c>
      <c r="S81" s="128" t="str">
        <f>IFERROR(VLOOKUP(Women[[#This Row],[TS SH O 25.06.22 Rang]],$AU$15:$AV$72,2,0)*$S$5," ")</f>
        <v xml:space="preserve"> </v>
      </c>
      <c r="T81" s="177" t="str">
        <f>IFERROR(VLOOKUP(Women[[#This Row],[TS SH W 25.06.22 Rang]],$AR$15:$AS$72,2,0)*T$5," ")</f>
        <v xml:space="preserve"> </v>
      </c>
      <c r="U81" s="177" t="str">
        <f>IFERROR(VLOOKUP(Women[[#This Row],[TS ZH W 02.07.22 Rang]],$AR$15:$AS$72,2,0)*U$5," ")</f>
        <v xml:space="preserve"> </v>
      </c>
      <c r="V81" s="128" t="str">
        <f>IFERROR(VLOOKUP(Women[[#This Row],[SM BE O/A 09.07.22 Rang]],$AU$15:$AV$72,2,0)*V79," ")</f>
        <v xml:space="preserve"> </v>
      </c>
      <c r="W81" s="128" t="str">
        <f>IFERROR(VLOOKUP(Women[[#This Row],[SM BE O/B 09.07.22 Rang]],$AU$15:$AV$72,2,0)*$W$5," ")</f>
        <v xml:space="preserve"> </v>
      </c>
      <c r="X81" s="177" t="str">
        <f>IFERROR(VLOOKUP(Women[[#This Row],[SM BE W 09.07.22 Rang]],$AR$15:$AS$72,2,0)*X$5," ")</f>
        <v xml:space="preserve"> </v>
      </c>
      <c r="Y81" s="11">
        <v>0</v>
      </c>
      <c r="Z81" s="11">
        <v>0</v>
      </c>
      <c r="AA81" s="11">
        <v>0</v>
      </c>
      <c r="AB81" s="131"/>
      <c r="AC81" s="129"/>
      <c r="AD81" s="129"/>
      <c r="AE81" s="131"/>
      <c r="AF81" s="129"/>
      <c r="AG81" s="131"/>
      <c r="AH81" s="129"/>
      <c r="AI81" s="131"/>
      <c r="AJ81" s="129"/>
      <c r="AK81" s="129"/>
      <c r="AL81" s="131"/>
      <c r="AM81" s="131"/>
      <c r="AN81" s="129"/>
      <c r="AR81" s="47">
        <v>73</v>
      </c>
      <c r="AS81" s="49">
        <v>5</v>
      </c>
      <c r="AU81" s="49">
        <v>73</v>
      </c>
      <c r="AV81" s="49">
        <v>10</v>
      </c>
    </row>
    <row r="82" spans="1:48" x14ac:dyDescent="0.2">
      <c r="A82" s="112">
        <v>13</v>
      </c>
      <c r="B82" s="17">
        <f>IF(Women[[#This Row],[PR Rang beim letzten Turnier]]&gt;Women[[#This Row],[PR Rang]],1,IF(Women[[#This Row],[PR Rang]]=Women[[#This Row],[PR Rang beim letzten Turnier]],0,-1))</f>
        <v>-1</v>
      </c>
      <c r="C82" s="112">
        <f>RANK(Women[[#This Row],[PR Punkte]],Women[PR Punkte],0)</f>
        <v>76</v>
      </c>
      <c r="D82" s="43" t="s">
        <v>387</v>
      </c>
      <c r="E82" s="11" t="s">
        <v>18</v>
      </c>
      <c r="F82" s="177">
        <f>SUM(Women[[#This Row],[PR 1]:[PR 3]])</f>
        <v>0</v>
      </c>
      <c r="G82" s="109">
        <f>LARGE(Women[[#This Row],[TS SH O 22.02.22]:[PR3]],1)</f>
        <v>0</v>
      </c>
      <c r="H82" s="109">
        <f>LARGE(Women[[#This Row],[TS SH O 22.02.22]:[PR3]],2)</f>
        <v>0</v>
      </c>
      <c r="I82" s="109">
        <f>LARGE(Women[[#This Row],[TS SH O 22.02.22]:[PR3]],3)</f>
        <v>0</v>
      </c>
      <c r="J82" s="11">
        <f>RANK(K82,$K$7:$K$108,0)</f>
        <v>76</v>
      </c>
      <c r="K82" s="109">
        <f>SUM(L82:AA82)</f>
        <v>0</v>
      </c>
      <c r="L82" s="128" t="str">
        <f>IFERROR(VLOOKUP(Women[[#This Row],[TS SH O 22.02.22 Rang]],$AU$15:$AV$72,2,0)*L$5," ")</f>
        <v xml:space="preserve"> </v>
      </c>
      <c r="M82" s="109" t="str">
        <f>IFERROR(VLOOKUP(Women[[#This Row],[TS SH W 22.02.22 Rang]],$AR$15:$AS$72,2,0)*M$5," ")</f>
        <v xml:space="preserve"> </v>
      </c>
      <c r="N82" s="109" t="str">
        <f>IFERROR(VLOOKUP(Women[[#This Row],[TS LU W 12.03.22 Rang]],$AR$15:$AS$72,2,0)*N$5," ")</f>
        <v xml:space="preserve"> </v>
      </c>
      <c r="O82" s="128" t="str">
        <f>IFERROR(VLOOKUP(Women[[#This Row],[TS SH O 23.04.22 Rang]],$AU$15:$AV$72,2,0)*O$5," ")</f>
        <v xml:space="preserve"> </v>
      </c>
      <c r="P82" s="177" t="str">
        <f>IFERROR(VLOOKUP(Women[[#This Row],[TS LA W 08.05.22 Rang]],$AR$15:$AS$72,2,0)*P$5," ")</f>
        <v xml:space="preserve"> </v>
      </c>
      <c r="Q82" s="128" t="str">
        <f>IFERROR(VLOOKUP(Women[[#This Row],[TS SG O 25.05.22 Rang]],$AU$15:$AV$72,2,0)*Q$5," ")</f>
        <v xml:space="preserve"> </v>
      </c>
      <c r="R82" s="177" t="str">
        <f>IFERROR(VLOOKUP(Women[[#This Row],[TS SG W 25.05.22 Rang]],$AR$15:$AS$72,2,0)*R$5," ")</f>
        <v xml:space="preserve"> </v>
      </c>
      <c r="S82" s="128" t="str">
        <f>IFERROR(VLOOKUP(Women[[#This Row],[TS SH O 25.06.22 Rang]],$AU$15:$AV$72,2,0)*$S$5," ")</f>
        <v xml:space="preserve"> </v>
      </c>
      <c r="T82" s="177" t="str">
        <f>IFERROR(VLOOKUP(Women[[#This Row],[TS SH W 25.06.22 Rang]],$AR$15:$AS$72,2,0)*T$5," ")</f>
        <v xml:space="preserve"> </v>
      </c>
      <c r="U82" s="177" t="str">
        <f>IFERROR(VLOOKUP(Women[[#This Row],[TS ZH W 02.07.22 Rang]],$AR$15:$AS$72,2,0)*U$5," ")</f>
        <v xml:space="preserve"> </v>
      </c>
      <c r="V82" s="128" t="str">
        <f>IFERROR(VLOOKUP(Women[[#This Row],[SM BE O/A 09.07.22 Rang]],$AU$15:$AV$72,2,0)*V80," ")</f>
        <v xml:space="preserve"> </v>
      </c>
      <c r="W82" s="128" t="str">
        <f>IFERROR(VLOOKUP(Women[[#This Row],[SM BE O/B 09.07.22 Rang]],$AU$15:$AV$72,2,0)*$W$5," ")</f>
        <v xml:space="preserve"> </v>
      </c>
      <c r="X82" s="177" t="str">
        <f>IFERROR(VLOOKUP(Women[[#This Row],[SM BE W 09.07.22 Rang]],$AR$15:$AS$72,2,0)*X$5," ")</f>
        <v xml:space="preserve"> </v>
      </c>
      <c r="Y82" s="11">
        <v>0</v>
      </c>
      <c r="Z82" s="11">
        <v>0</v>
      </c>
      <c r="AA82" s="11">
        <v>0</v>
      </c>
      <c r="AB82" s="131"/>
      <c r="AC82" s="129"/>
      <c r="AD82" s="129"/>
      <c r="AE82" s="131"/>
      <c r="AF82" s="129"/>
      <c r="AG82" s="131"/>
      <c r="AH82" s="129"/>
      <c r="AI82" s="131"/>
      <c r="AJ82" s="129"/>
      <c r="AK82" s="129"/>
      <c r="AL82" s="131"/>
      <c r="AM82" s="131"/>
      <c r="AN82" s="129"/>
      <c r="AR82" s="47">
        <v>74</v>
      </c>
      <c r="AS82" s="49">
        <v>5</v>
      </c>
      <c r="AU82" s="49">
        <v>74</v>
      </c>
      <c r="AV82" s="49">
        <v>10</v>
      </c>
    </row>
    <row r="83" spans="1:48" x14ac:dyDescent="0.2">
      <c r="A83" s="225">
        <v>32</v>
      </c>
      <c r="B83" s="198">
        <f>IF(Women[[#This Row],[PR Rang beim letzten Turnier]]&gt;Women[[#This Row],[PR Rang]],1,IF(Women[[#This Row],[PR Rang]]=Women[[#This Row],[PR Rang beim letzten Turnier]],0,-1))</f>
        <v>-1</v>
      </c>
      <c r="C83" s="225">
        <f>RANK(Women[[#This Row],[PR Punkte]],Women[PR Punkte],0)</f>
        <v>76</v>
      </c>
      <c r="D83" s="11" t="s">
        <v>347</v>
      </c>
      <c r="E83" s="11" t="s">
        <v>11</v>
      </c>
      <c r="F83" s="109">
        <f>SUM(Women[[#This Row],[PR 1]:[PR 3]])</f>
        <v>0</v>
      </c>
      <c r="G83" s="109">
        <f>LARGE(Women[[#This Row],[TS SH O 22.02.22]:[PR3]],1)</f>
        <v>0</v>
      </c>
      <c r="H83" s="109">
        <f>LARGE(Women[[#This Row],[TS SH O 22.02.22]:[PR3]],2)</f>
        <v>0</v>
      </c>
      <c r="I83" s="109">
        <f>LARGE(Women[[#This Row],[TS SH O 22.02.22]:[PR3]],3)</f>
        <v>0</v>
      </c>
      <c r="J83" s="86">
        <f>RANK(K83,$K$7:$K$108,0)</f>
        <v>76</v>
      </c>
      <c r="K83" s="109">
        <f>SUM(L83:AA83)</f>
        <v>0</v>
      </c>
      <c r="L83" s="128" t="str">
        <f>IFERROR(VLOOKUP(Women[[#This Row],[TS SH O 22.02.22 Rang]],$AU$15:$AV$72,2,0)*L$5," ")</f>
        <v xml:space="preserve"> </v>
      </c>
      <c r="M83" s="177" t="str">
        <f>IFERROR(VLOOKUP(Women[[#This Row],[TS SH W 22.02.22 Rang]],$AR$15:$AS$72,2,0)*M$5," ")</f>
        <v xml:space="preserve"> </v>
      </c>
      <c r="N83" s="177" t="str">
        <f>IFERROR(VLOOKUP(Women[[#This Row],[TS LU W 12.03.22 Rang]],$AR$15:$AS$72,2,0)*N$5," ")</f>
        <v xml:space="preserve"> </v>
      </c>
      <c r="O83" s="128" t="str">
        <f>IFERROR(VLOOKUP(Women[[#This Row],[TS SH O 23.04.22 Rang]],$AU$15:$AV$72,2,0)*O$5," ")</f>
        <v xml:space="preserve"> </v>
      </c>
      <c r="P83" s="177" t="str">
        <f>IFERROR(VLOOKUP(Women[[#This Row],[TS LA W 08.05.22 Rang]],$AR$15:$AS$72,2,0)*P$5," ")</f>
        <v xml:space="preserve"> </v>
      </c>
      <c r="Q83" s="128" t="str">
        <f>IFERROR(VLOOKUP(Women[[#This Row],[TS SG O 25.05.22 Rang]],$AU$15:$AV$72,2,0)*Q$5," ")</f>
        <v xml:space="preserve"> </v>
      </c>
      <c r="R83" s="177" t="str">
        <f>IFERROR(VLOOKUP(Women[[#This Row],[TS SG W 25.05.22 Rang]],$AR$15:$AS$72,2,0)*R$5," ")</f>
        <v xml:space="preserve"> </v>
      </c>
      <c r="S83" s="128" t="str">
        <f>IFERROR(VLOOKUP(Women[[#This Row],[TS SH O 25.06.22 Rang]],$AU$15:$AV$72,2,0)*$S$5," ")</f>
        <v xml:space="preserve"> </v>
      </c>
      <c r="T83" s="177" t="str">
        <f>IFERROR(VLOOKUP(Women[[#This Row],[TS SH W 25.06.22 Rang]],$AR$15:$AS$72,2,0)*T$5," ")</f>
        <v xml:space="preserve"> </v>
      </c>
      <c r="U83" s="177" t="str">
        <f>IFERROR(VLOOKUP(Women[[#This Row],[TS ZH W 02.07.22 Rang]],$AR$15:$AS$72,2,0)*U$5," ")</f>
        <v xml:space="preserve"> </v>
      </c>
      <c r="V83" s="128" t="str">
        <f>IFERROR(VLOOKUP(Women[[#This Row],[SM BE O/A 09.07.22 Rang]],$AU$15:$AV$72,2,0)*V81," ")</f>
        <v xml:space="preserve"> </v>
      </c>
      <c r="W83" s="128" t="str">
        <f>IFERROR(VLOOKUP(Women[[#This Row],[SM BE O/B 09.07.22 Rang]],$AU$15:$AV$72,2,0)*$W$5," ")</f>
        <v xml:space="preserve"> </v>
      </c>
      <c r="X83" s="177" t="str">
        <f>IFERROR(VLOOKUP(Women[[#This Row],[SM BE W 09.07.22 Rang]],$AR$15:$AS$72,2,0)*X$5," ")</f>
        <v xml:space="preserve"> </v>
      </c>
      <c r="Y83" s="11">
        <v>0</v>
      </c>
      <c r="Z83" s="11">
        <v>0</v>
      </c>
      <c r="AA83" s="11">
        <v>0</v>
      </c>
      <c r="AB83" s="131"/>
      <c r="AC83" s="129"/>
      <c r="AD83" s="129"/>
      <c r="AE83" s="131"/>
      <c r="AF83" s="129"/>
      <c r="AG83" s="131"/>
      <c r="AH83" s="129"/>
      <c r="AI83" s="131"/>
      <c r="AJ83" s="129"/>
      <c r="AK83" s="129"/>
      <c r="AL83" s="131"/>
      <c r="AM83" s="131"/>
      <c r="AN83" s="129"/>
      <c r="AR83" s="47">
        <v>75</v>
      </c>
      <c r="AS83" s="49">
        <v>5</v>
      </c>
      <c r="AU83" s="49">
        <v>75</v>
      </c>
      <c r="AV83" s="49">
        <v>10</v>
      </c>
    </row>
    <row r="84" spans="1:48" x14ac:dyDescent="0.2">
      <c r="A84" s="112">
        <v>38</v>
      </c>
      <c r="B84" s="17">
        <f>IF(Women[[#This Row],[PR Rang beim letzten Turnier]]&gt;Women[[#This Row],[PR Rang]],1,IF(Women[[#This Row],[PR Rang]]=Women[[#This Row],[PR Rang beim letzten Turnier]],0,-1))</f>
        <v>-1</v>
      </c>
      <c r="C84" s="112">
        <f>RANK(Women[[#This Row],[PR Punkte]],Women[PR Punkte],0)</f>
        <v>76</v>
      </c>
      <c r="D84" s="11" t="s">
        <v>202</v>
      </c>
      <c r="E84" s="9" t="s">
        <v>9</v>
      </c>
      <c r="F84" s="109">
        <f>SUM(Women[[#This Row],[PR 1]:[PR 3]])</f>
        <v>0</v>
      </c>
      <c r="G84" s="109">
        <f>LARGE(Women[[#This Row],[TS SH O 22.02.22]:[PR3]],1)</f>
        <v>0</v>
      </c>
      <c r="H84" s="109">
        <f>LARGE(Women[[#This Row],[TS SH O 22.02.22]:[PR3]],2)</f>
        <v>0</v>
      </c>
      <c r="I84" s="109">
        <f>LARGE(Women[[#This Row],[TS SH O 22.02.22]:[PR3]],3)</f>
        <v>0</v>
      </c>
      <c r="J84" s="9">
        <f>RANK(K84,$K$7:$K$108,0)</f>
        <v>76</v>
      </c>
      <c r="K84" s="109">
        <f>SUM(L84:AA84)</f>
        <v>0</v>
      </c>
      <c r="L84" s="128" t="str">
        <f>IFERROR(VLOOKUP(Women[[#This Row],[TS SH O 22.02.22 Rang]],$AU$15:$AV$72,2,0)*L$5," ")</f>
        <v xml:space="preserve"> </v>
      </c>
      <c r="M84" s="109" t="str">
        <f>IFERROR(VLOOKUP(Women[[#This Row],[TS SH W 22.02.22 Rang]],$AR$15:$AS$72,2,0)*M$5," ")</f>
        <v xml:space="preserve"> </v>
      </c>
      <c r="N84" s="109" t="str">
        <f>IFERROR(VLOOKUP(Women[[#This Row],[TS LU W 12.03.22 Rang]],$AR$15:$AS$72,2,0)*N$5," ")</f>
        <v xml:space="preserve"> </v>
      </c>
      <c r="O84" s="128" t="str">
        <f>IFERROR(VLOOKUP(Women[[#This Row],[TS SH O 23.04.22 Rang]],$AU$15:$AV$72,2,0)*O$5," ")</f>
        <v xml:space="preserve"> </v>
      </c>
      <c r="P84" s="177" t="str">
        <f>IFERROR(VLOOKUP(Women[[#This Row],[TS LA W 08.05.22 Rang]],$AR$15:$AS$72,2,0)*P$5," ")</f>
        <v xml:space="preserve"> </v>
      </c>
      <c r="Q84" s="128" t="str">
        <f>IFERROR(VLOOKUP(Women[[#This Row],[TS SG O 25.05.22 Rang]],$AU$15:$AV$72,2,0)*Q$5," ")</f>
        <v xml:space="preserve"> </v>
      </c>
      <c r="R84" s="177" t="str">
        <f>IFERROR(VLOOKUP(Women[[#This Row],[TS SG W 25.05.22 Rang]],$AR$15:$AS$72,2,0)*R$5," ")</f>
        <v xml:space="preserve"> </v>
      </c>
      <c r="S84" s="128" t="str">
        <f>IFERROR(VLOOKUP(Women[[#This Row],[TS SH O 25.06.22 Rang]],$AU$15:$AV$72,2,0)*$S$5," ")</f>
        <v xml:space="preserve"> </v>
      </c>
      <c r="T84" s="177" t="str">
        <f>IFERROR(VLOOKUP(Women[[#This Row],[TS SH W 25.06.22 Rang]],$AR$15:$AS$72,2,0)*T$5," ")</f>
        <v xml:space="preserve"> </v>
      </c>
      <c r="U84" s="177" t="str">
        <f>IFERROR(VLOOKUP(Women[[#This Row],[TS ZH W 02.07.22 Rang]],$AR$15:$AS$72,2,0)*U$5," ")</f>
        <v xml:space="preserve"> </v>
      </c>
      <c r="V84" s="128" t="str">
        <f>IFERROR(VLOOKUP(Women[[#This Row],[SM BE O/A 09.07.22 Rang]],$AU$15:$AV$72,2,0)*V82," ")</f>
        <v xml:space="preserve"> </v>
      </c>
      <c r="W84" s="128" t="str">
        <f>IFERROR(VLOOKUP(Women[[#This Row],[SM BE O/B 09.07.22 Rang]],$AU$15:$AV$72,2,0)*$W$5," ")</f>
        <v xml:space="preserve"> </v>
      </c>
      <c r="X84" s="177" t="str">
        <f>IFERROR(VLOOKUP(Women[[#This Row],[SM BE W 09.07.22 Rang]],$AR$15:$AS$72,2,0)*X$5," ")</f>
        <v xml:space="preserve"> </v>
      </c>
      <c r="Y84" s="11">
        <v>0</v>
      </c>
      <c r="Z84" s="11">
        <v>0</v>
      </c>
      <c r="AA84" s="11">
        <v>0</v>
      </c>
      <c r="AB84" s="131"/>
      <c r="AC84" s="129"/>
      <c r="AD84" s="129"/>
      <c r="AE84" s="131"/>
      <c r="AF84" s="129"/>
      <c r="AG84" s="131"/>
      <c r="AH84" s="129"/>
      <c r="AI84" s="131"/>
      <c r="AJ84" s="129"/>
      <c r="AK84" s="129"/>
      <c r="AL84" s="131"/>
      <c r="AM84" s="131"/>
      <c r="AN84" s="129"/>
      <c r="AR84" s="47">
        <v>77</v>
      </c>
      <c r="AS84" s="49">
        <v>5</v>
      </c>
      <c r="AU84" s="49">
        <v>77</v>
      </c>
      <c r="AV84" s="49">
        <v>10</v>
      </c>
    </row>
    <row r="85" spans="1:48" x14ac:dyDescent="0.2">
      <c r="A85" s="112">
        <v>42</v>
      </c>
      <c r="B85" s="17">
        <f>IF(Women[[#This Row],[PR Rang beim letzten Turnier]]&gt;Women[[#This Row],[PR Rang]],1,IF(Women[[#This Row],[PR Rang]]=Women[[#This Row],[PR Rang beim letzten Turnier]],0,-1))</f>
        <v>-1</v>
      </c>
      <c r="C85" s="112">
        <f>RANK(Women[[#This Row],[PR Punkte]],Women[PR Punkte],0)</f>
        <v>76</v>
      </c>
      <c r="D85" s="11" t="s">
        <v>48</v>
      </c>
      <c r="E85" s="12" t="s">
        <v>9</v>
      </c>
      <c r="F85" s="109">
        <f>SUM(Women[[#This Row],[PR 1]:[PR 3]])</f>
        <v>0</v>
      </c>
      <c r="G85" s="109">
        <f>LARGE(Women[[#This Row],[TS SH O 22.02.22]:[PR3]],1)</f>
        <v>0</v>
      </c>
      <c r="H85" s="109">
        <f>LARGE(Women[[#This Row],[TS SH O 22.02.22]:[PR3]],2)</f>
        <v>0</v>
      </c>
      <c r="I85" s="109">
        <f>LARGE(Women[[#This Row],[TS SH O 22.02.22]:[PR3]],3)</f>
        <v>0</v>
      </c>
      <c r="J85" s="86">
        <f>RANK(K85,$K$7:$K$108,0)</f>
        <v>76</v>
      </c>
      <c r="K85" s="109">
        <f>SUM(L85:AA85)</f>
        <v>0</v>
      </c>
      <c r="L85" s="128" t="str">
        <f>IFERROR(VLOOKUP(Women[[#This Row],[TS SH O 22.02.22 Rang]],$AU$15:$AV$72,2,0)*L$5," ")</f>
        <v xml:space="preserve"> </v>
      </c>
      <c r="M85" s="109" t="str">
        <f>IFERROR(VLOOKUP(Women[[#This Row],[TS SH W 22.02.22 Rang]],$AR$15:$AS$72,2,0)*M$5," ")</f>
        <v xml:space="preserve"> </v>
      </c>
      <c r="N85" s="109" t="str">
        <f>IFERROR(VLOOKUP(Women[[#This Row],[TS LU W 12.03.22 Rang]],$AR$15:$AS$72,2,0)*N$5," ")</f>
        <v xml:space="preserve"> </v>
      </c>
      <c r="O85" s="128" t="str">
        <f>IFERROR(VLOOKUP(Women[[#This Row],[TS SH O 23.04.22 Rang]],$AU$15:$AV$72,2,0)*O$5," ")</f>
        <v xml:space="preserve"> </v>
      </c>
      <c r="P85" s="177" t="str">
        <f>IFERROR(VLOOKUP(Women[[#This Row],[TS LA W 08.05.22 Rang]],$AR$15:$AS$72,2,0)*P$5," ")</f>
        <v xml:space="preserve"> </v>
      </c>
      <c r="Q85" s="128" t="str">
        <f>IFERROR(VLOOKUP(Women[[#This Row],[TS SG O 25.05.22 Rang]],$AU$15:$AV$72,2,0)*Q$5," ")</f>
        <v xml:space="preserve"> </v>
      </c>
      <c r="R85" s="177" t="str">
        <f>IFERROR(VLOOKUP(Women[[#This Row],[TS SG W 25.05.22 Rang]],$AR$15:$AS$72,2,0)*R$5," ")</f>
        <v xml:space="preserve"> </v>
      </c>
      <c r="S85" s="128" t="str">
        <f>IFERROR(VLOOKUP(Women[[#This Row],[TS SH O 25.06.22 Rang]],$AU$15:$AV$72,2,0)*$S$5," ")</f>
        <v xml:space="preserve"> </v>
      </c>
      <c r="T85" s="177" t="str">
        <f>IFERROR(VLOOKUP(Women[[#This Row],[TS SH W 25.06.22 Rang]],$AR$15:$AS$72,2,0)*T$5," ")</f>
        <v xml:space="preserve"> </v>
      </c>
      <c r="U85" s="177" t="str">
        <f>IFERROR(VLOOKUP(Women[[#This Row],[TS ZH W 02.07.22 Rang]],$AR$15:$AS$72,2,0)*U$5," ")</f>
        <v xml:space="preserve"> </v>
      </c>
      <c r="V85" s="128" t="str">
        <f>IFERROR(VLOOKUP(Women[[#This Row],[SM BE O/A 09.07.22 Rang]],$AU$15:$AV$72,2,0)*V83," ")</f>
        <v xml:space="preserve"> </v>
      </c>
      <c r="W85" s="128" t="str">
        <f>IFERROR(VLOOKUP(Women[[#This Row],[SM BE O/B 09.07.22 Rang]],$AU$15:$AV$72,2,0)*$W$5," ")</f>
        <v xml:space="preserve"> </v>
      </c>
      <c r="X85" s="177" t="str">
        <f>IFERROR(VLOOKUP(Women[[#This Row],[SM BE W 09.07.22 Rang]],$AR$15:$AS$72,2,0)*X$5," ")</f>
        <v xml:space="preserve"> </v>
      </c>
      <c r="Y85" s="11">
        <v>0</v>
      </c>
      <c r="Z85" s="11">
        <v>0</v>
      </c>
      <c r="AA85" s="11">
        <v>0</v>
      </c>
      <c r="AB85" s="131"/>
      <c r="AC85" s="129"/>
      <c r="AD85" s="129"/>
      <c r="AE85" s="131"/>
      <c r="AF85" s="129"/>
      <c r="AG85" s="131"/>
      <c r="AH85" s="129"/>
      <c r="AI85" s="131"/>
      <c r="AJ85" s="129"/>
      <c r="AK85" s="129"/>
      <c r="AL85" s="131"/>
      <c r="AM85" s="131"/>
      <c r="AN85" s="129"/>
      <c r="AR85" s="47">
        <v>78</v>
      </c>
      <c r="AS85" s="49">
        <v>5</v>
      </c>
      <c r="AU85" s="49">
        <v>78</v>
      </c>
      <c r="AV85" s="49">
        <v>10</v>
      </c>
    </row>
    <row r="86" spans="1:48" x14ac:dyDescent="0.2">
      <c r="A86" s="112">
        <v>46</v>
      </c>
      <c r="B86" s="17">
        <f>IF(Women[[#This Row],[PR Rang beim letzten Turnier]]&gt;Women[[#This Row],[PR Rang]],1,IF(Women[[#This Row],[PR Rang]]=Women[[#This Row],[PR Rang beim letzten Turnier]],0,-1))</f>
        <v>-1</v>
      </c>
      <c r="C86" s="112">
        <f>RANK(Women[[#This Row],[PR Punkte]],Women[PR Punkte],0)</f>
        <v>76</v>
      </c>
      <c r="D86" s="43" t="s">
        <v>228</v>
      </c>
      <c r="E86" s="11" t="s">
        <v>9</v>
      </c>
      <c r="F86" s="109">
        <f>SUM(Women[[#This Row],[PR 1]:[PR 3]])</f>
        <v>0</v>
      </c>
      <c r="G86" s="109">
        <f>LARGE(Women[[#This Row],[TS SH O 22.02.22]:[PR3]],1)</f>
        <v>0</v>
      </c>
      <c r="H86" s="109">
        <f>LARGE(Women[[#This Row],[TS SH O 22.02.22]:[PR3]],2)</f>
        <v>0</v>
      </c>
      <c r="I86" s="109">
        <f>LARGE(Women[[#This Row],[TS SH O 22.02.22]:[PR3]],3)</f>
        <v>0</v>
      </c>
      <c r="J86" s="11">
        <f>RANK(K86,$K$7:$K$108,0)</f>
        <v>76</v>
      </c>
      <c r="K86" s="109">
        <f>SUM(L86:AA86)</f>
        <v>0</v>
      </c>
      <c r="L86" s="128" t="str">
        <f>IFERROR(VLOOKUP(Women[[#This Row],[TS SH O 22.02.22 Rang]],$AU$15:$AV$72,2,0)*L$5," ")</f>
        <v xml:space="preserve"> </v>
      </c>
      <c r="M86" s="109" t="str">
        <f>IFERROR(VLOOKUP(Women[[#This Row],[TS SH W 22.02.22 Rang]],$AR$15:$AS$72,2,0)*M$5," ")</f>
        <v xml:space="preserve"> </v>
      </c>
      <c r="N86" s="109" t="str">
        <f>IFERROR(VLOOKUP(Women[[#This Row],[TS LU W 12.03.22 Rang]],$AR$15:$AS$72,2,0)*N$5," ")</f>
        <v xml:space="preserve"> </v>
      </c>
      <c r="O86" s="128" t="str">
        <f>IFERROR(VLOOKUP(Women[[#This Row],[TS SH O 23.04.22 Rang]],$AU$15:$AV$72,2,0)*O$5," ")</f>
        <v xml:space="preserve"> </v>
      </c>
      <c r="P86" s="177" t="str">
        <f>IFERROR(VLOOKUP(Women[[#This Row],[TS LA W 08.05.22 Rang]],$AR$15:$AS$72,2,0)*P$5," ")</f>
        <v xml:space="preserve"> </v>
      </c>
      <c r="Q86" s="128" t="str">
        <f>IFERROR(VLOOKUP(Women[[#This Row],[TS SG O 25.05.22 Rang]],$AU$15:$AV$72,2,0)*Q$5," ")</f>
        <v xml:space="preserve"> </v>
      </c>
      <c r="R86" s="177" t="str">
        <f>IFERROR(VLOOKUP(Women[[#This Row],[TS SG W 25.05.22 Rang]],$AR$15:$AS$72,2,0)*R$5," ")</f>
        <v xml:space="preserve"> </v>
      </c>
      <c r="S86" s="128" t="str">
        <f>IFERROR(VLOOKUP(Women[[#This Row],[TS SH O 25.06.22 Rang]],$AU$15:$AV$72,2,0)*$S$5," ")</f>
        <v xml:space="preserve"> </v>
      </c>
      <c r="T86" s="177" t="str">
        <f>IFERROR(VLOOKUP(Women[[#This Row],[TS SH W 25.06.22 Rang]],$AR$15:$AS$72,2,0)*T$5," ")</f>
        <v xml:space="preserve"> </v>
      </c>
      <c r="U86" s="177" t="str">
        <f>IFERROR(VLOOKUP(Women[[#This Row],[TS ZH W 02.07.22 Rang]],$AR$15:$AS$72,2,0)*U$5," ")</f>
        <v xml:space="preserve"> </v>
      </c>
      <c r="V86" s="128" t="str">
        <f>IFERROR(VLOOKUP(Women[[#This Row],[SM BE O/A 09.07.22 Rang]],$AU$15:$AV$72,2,0)*V84," ")</f>
        <v xml:space="preserve"> </v>
      </c>
      <c r="W86" s="128" t="str">
        <f>IFERROR(VLOOKUP(Women[[#This Row],[SM BE O/B 09.07.22 Rang]],$AU$15:$AV$72,2,0)*$W$5," ")</f>
        <v xml:space="preserve"> </v>
      </c>
      <c r="X86" s="177" t="str">
        <f>IFERROR(VLOOKUP(Women[[#This Row],[SM BE W 09.07.22 Rang]],$AR$15:$AS$72,2,0)*X$5," ")</f>
        <v xml:space="preserve"> </v>
      </c>
      <c r="Y86" s="11">
        <v>0</v>
      </c>
      <c r="Z86" s="11">
        <v>0</v>
      </c>
      <c r="AA86" s="11">
        <v>0</v>
      </c>
      <c r="AB86" s="132"/>
      <c r="AC86" s="130"/>
      <c r="AD86" s="130"/>
      <c r="AE86" s="132"/>
      <c r="AF86" s="130"/>
      <c r="AG86" s="132"/>
      <c r="AH86" s="130"/>
      <c r="AI86" s="132"/>
      <c r="AJ86" s="130"/>
      <c r="AK86" s="130"/>
      <c r="AL86" s="132"/>
      <c r="AM86" s="132"/>
      <c r="AN86" s="130"/>
      <c r="AR86" s="47">
        <v>79</v>
      </c>
      <c r="AS86" s="49">
        <v>5</v>
      </c>
      <c r="AU86" s="50">
        <v>79</v>
      </c>
      <c r="AV86" s="50">
        <v>10</v>
      </c>
    </row>
    <row r="87" spans="1:48" x14ac:dyDescent="0.2">
      <c r="A87" s="112">
        <v>49</v>
      </c>
      <c r="B87" s="17">
        <f>IF(Women[[#This Row],[PR Rang beim letzten Turnier]]&gt;Women[[#This Row],[PR Rang]],1,IF(Women[[#This Row],[PR Rang]]=Women[[#This Row],[PR Rang beim letzten Turnier]],0,-1))</f>
        <v>-1</v>
      </c>
      <c r="C87" s="112">
        <f>RANK(Women[[#This Row],[PR Punkte]],Women[PR Punkte],0)</f>
        <v>76</v>
      </c>
      <c r="D87" s="13" t="s">
        <v>388</v>
      </c>
      <c r="E87" s="11" t="s">
        <v>10</v>
      </c>
      <c r="F87" s="109">
        <f>SUM(Women[[#This Row],[PR 1]:[PR 3]])</f>
        <v>0</v>
      </c>
      <c r="G87" s="109">
        <f>LARGE(Women[[#This Row],[TS SH O 22.02.22]:[PR3]],1)</f>
        <v>0</v>
      </c>
      <c r="H87" s="109">
        <f>LARGE(Women[[#This Row],[TS SH O 22.02.22]:[PR3]],2)</f>
        <v>0</v>
      </c>
      <c r="I87" s="109">
        <f>LARGE(Women[[#This Row],[TS SH O 22.02.22]:[PR3]],3)</f>
        <v>0</v>
      </c>
      <c r="J87" s="11">
        <f>RANK(K87,$K$7:$K$108,0)</f>
        <v>76</v>
      </c>
      <c r="K87" s="109">
        <f>SUM(L87:AA87)</f>
        <v>0</v>
      </c>
      <c r="L87" s="128" t="str">
        <f>IFERROR(VLOOKUP(Women[[#This Row],[TS SH O 22.02.22 Rang]],$AU$15:$AV$72,2,0)*L$5," ")</f>
        <v xml:space="preserve"> </v>
      </c>
      <c r="M87" s="109" t="str">
        <f>IFERROR(VLOOKUP(Women[[#This Row],[TS SH W 22.02.22 Rang]],$AR$15:$AS$72,2,0)*M$5," ")</f>
        <v xml:space="preserve"> </v>
      </c>
      <c r="N87" s="109" t="str">
        <f>IFERROR(VLOOKUP(Women[[#This Row],[TS LU W 12.03.22 Rang]],$AR$15:$AS$72,2,0)*N$5," ")</f>
        <v xml:space="preserve"> </v>
      </c>
      <c r="O87" s="128" t="str">
        <f>IFERROR(VLOOKUP(Women[[#This Row],[TS SH O 23.04.22 Rang]],$AU$15:$AV$72,2,0)*O$5," ")</f>
        <v xml:space="preserve"> </v>
      </c>
      <c r="P87" s="177" t="str">
        <f>IFERROR(VLOOKUP(Women[[#This Row],[TS LA W 08.05.22 Rang]],$AR$15:$AS$72,2,0)*P$5," ")</f>
        <v xml:space="preserve"> </v>
      </c>
      <c r="Q87" s="128" t="str">
        <f>IFERROR(VLOOKUP(Women[[#This Row],[TS SG O 25.05.22 Rang]],$AU$15:$AV$72,2,0)*Q$5," ")</f>
        <v xml:space="preserve"> </v>
      </c>
      <c r="R87" s="177" t="str">
        <f>IFERROR(VLOOKUP(Women[[#This Row],[TS SG W 25.05.22 Rang]],$AR$15:$AS$72,2,0)*R$5," ")</f>
        <v xml:space="preserve"> </v>
      </c>
      <c r="S87" s="128" t="str">
        <f>IFERROR(VLOOKUP(Women[[#This Row],[TS SH O 25.06.22 Rang]],$AU$15:$AV$72,2,0)*$S$5," ")</f>
        <v xml:space="preserve"> </v>
      </c>
      <c r="T87" s="177" t="str">
        <f>IFERROR(VLOOKUP(Women[[#This Row],[TS SH W 25.06.22 Rang]],$AR$15:$AS$72,2,0)*T$5," ")</f>
        <v xml:space="preserve"> </v>
      </c>
      <c r="U87" s="177" t="str">
        <f>IFERROR(VLOOKUP(Women[[#This Row],[TS ZH W 02.07.22 Rang]],$AR$15:$AS$72,2,0)*U$5," ")</f>
        <v xml:space="preserve"> </v>
      </c>
      <c r="V87" s="128" t="str">
        <f>IFERROR(VLOOKUP(Women[[#This Row],[SM BE O/A 09.07.22 Rang]],$AU$15:$AV$72,2,0)*V85," ")</f>
        <v xml:space="preserve"> </v>
      </c>
      <c r="W87" s="128" t="str">
        <f>IFERROR(VLOOKUP(Women[[#This Row],[SM BE O/B 09.07.22 Rang]],$AU$15:$AV$72,2,0)*$W$5," ")</f>
        <v xml:space="preserve"> </v>
      </c>
      <c r="X87" s="177" t="str">
        <f>IFERROR(VLOOKUP(Women[[#This Row],[SM BE W 09.07.22 Rang]],$AR$15:$AS$72,2,0)*X$5," ")</f>
        <v xml:space="preserve"> </v>
      </c>
      <c r="Y87" s="11">
        <v>0</v>
      </c>
      <c r="Z87" s="11">
        <v>0</v>
      </c>
      <c r="AA87" s="11">
        <v>0</v>
      </c>
      <c r="AB87" s="131"/>
      <c r="AC87" s="129"/>
      <c r="AD87" s="129"/>
      <c r="AE87" s="131"/>
      <c r="AF87" s="129"/>
      <c r="AG87" s="131"/>
      <c r="AH87" s="129"/>
      <c r="AI87" s="131"/>
      <c r="AJ87" s="129"/>
      <c r="AK87" s="129"/>
      <c r="AL87" s="131"/>
      <c r="AM87" s="131"/>
      <c r="AN87" s="129"/>
      <c r="AR87" s="47">
        <v>80</v>
      </c>
      <c r="AS87" s="49">
        <v>5</v>
      </c>
      <c r="AU87" s="49">
        <v>80</v>
      </c>
      <c r="AV87" s="49">
        <v>10</v>
      </c>
    </row>
    <row r="88" spans="1:48" x14ac:dyDescent="0.2">
      <c r="A88" s="112">
        <v>52</v>
      </c>
      <c r="B88" s="17">
        <f>IF(Women[[#This Row],[PR Rang beim letzten Turnier]]&gt;Women[[#This Row],[PR Rang]],1,IF(Women[[#This Row],[PR Rang]]=Women[[#This Row],[PR Rang beim letzten Turnier]],0,-1))</f>
        <v>-1</v>
      </c>
      <c r="C88" s="112">
        <f>RANK(Women[[#This Row],[PR Punkte]],Women[PR Punkte],0)</f>
        <v>76</v>
      </c>
      <c r="D88" s="43" t="s">
        <v>221</v>
      </c>
      <c r="E88" s="11" t="s">
        <v>17</v>
      </c>
      <c r="F88" s="109">
        <f>SUM(Women[[#This Row],[PR 1]:[PR 3]])</f>
        <v>0</v>
      </c>
      <c r="G88" s="109">
        <f>LARGE(Women[[#This Row],[TS SH O 22.02.22]:[PR3]],1)</f>
        <v>0</v>
      </c>
      <c r="H88" s="109">
        <f>LARGE(Women[[#This Row],[TS SH O 22.02.22]:[PR3]],2)</f>
        <v>0</v>
      </c>
      <c r="I88" s="109">
        <f>LARGE(Women[[#This Row],[TS SH O 22.02.22]:[PR3]],3)</f>
        <v>0</v>
      </c>
      <c r="J88" s="11">
        <f>RANK(K88,$K$7:$K$108,0)</f>
        <v>76</v>
      </c>
      <c r="K88" s="109">
        <f>SUM(L88:AA88)</f>
        <v>0</v>
      </c>
      <c r="L88" s="128" t="str">
        <f>IFERROR(VLOOKUP(Women[[#This Row],[TS SH O 22.02.22 Rang]],$AU$15:$AV$72,2,0)*L$5," ")</f>
        <v xml:space="preserve"> </v>
      </c>
      <c r="M88" s="109" t="str">
        <f>IFERROR(VLOOKUP(Women[[#This Row],[TS SH W 22.02.22 Rang]],$AR$15:$AS$72,2,0)*M$5," ")</f>
        <v xml:space="preserve"> </v>
      </c>
      <c r="N88" s="109" t="str">
        <f>IFERROR(VLOOKUP(Women[[#This Row],[TS LU W 12.03.22 Rang]],$AR$15:$AS$72,2,0)*N$5," ")</f>
        <v xml:space="preserve"> </v>
      </c>
      <c r="O88" s="128" t="str">
        <f>IFERROR(VLOOKUP(Women[[#This Row],[TS SH O 23.04.22 Rang]],$AU$15:$AV$72,2,0)*O$5," ")</f>
        <v xml:space="preserve"> </v>
      </c>
      <c r="P88" s="177" t="str">
        <f>IFERROR(VLOOKUP(Women[[#This Row],[TS LA W 08.05.22 Rang]],$AR$15:$AS$72,2,0)*P$5," ")</f>
        <v xml:space="preserve"> </v>
      </c>
      <c r="Q88" s="128" t="str">
        <f>IFERROR(VLOOKUP(Women[[#This Row],[TS SG O 25.05.22 Rang]],$AU$15:$AV$72,2,0)*Q$5," ")</f>
        <v xml:space="preserve"> </v>
      </c>
      <c r="R88" s="177" t="str">
        <f>IFERROR(VLOOKUP(Women[[#This Row],[TS SG W 25.05.22 Rang]],$AR$15:$AS$72,2,0)*R$5," ")</f>
        <v xml:space="preserve"> </v>
      </c>
      <c r="S88" s="128" t="str">
        <f>IFERROR(VLOOKUP(Women[[#This Row],[TS SH O 25.06.22 Rang]],$AU$15:$AV$72,2,0)*$S$5," ")</f>
        <v xml:space="preserve"> </v>
      </c>
      <c r="T88" s="177" t="str">
        <f>IFERROR(VLOOKUP(Women[[#This Row],[TS SH W 25.06.22 Rang]],$AR$15:$AS$72,2,0)*T$5," ")</f>
        <v xml:space="preserve"> </v>
      </c>
      <c r="U88" s="177" t="str">
        <f>IFERROR(VLOOKUP(Women[[#This Row],[TS ZH W 02.07.22 Rang]],$AR$15:$AS$72,2,0)*U$5," ")</f>
        <v xml:space="preserve"> </v>
      </c>
      <c r="V88" s="128" t="str">
        <f>IFERROR(VLOOKUP(Women[[#This Row],[SM BE O/A 09.07.22 Rang]],$AU$15:$AV$72,2,0)*V86," ")</f>
        <v xml:space="preserve"> </v>
      </c>
      <c r="W88" s="128" t="str">
        <f>IFERROR(VLOOKUP(Women[[#This Row],[SM BE O/B 09.07.22 Rang]],$AU$15:$AV$72,2,0)*$W$5," ")</f>
        <v xml:space="preserve"> </v>
      </c>
      <c r="X88" s="177" t="str">
        <f>IFERROR(VLOOKUP(Women[[#This Row],[SM BE W 09.07.22 Rang]],$AR$15:$AS$72,2,0)*X$5," ")</f>
        <v xml:space="preserve"> </v>
      </c>
      <c r="Y88" s="11">
        <v>0</v>
      </c>
      <c r="Z88" s="11">
        <v>0</v>
      </c>
      <c r="AA88" s="11">
        <v>0</v>
      </c>
      <c r="AB88" s="131"/>
      <c r="AC88" s="129"/>
      <c r="AD88" s="129"/>
      <c r="AE88" s="131"/>
      <c r="AF88" s="129"/>
      <c r="AG88" s="131"/>
      <c r="AH88" s="129"/>
      <c r="AI88" s="131"/>
      <c r="AJ88" s="129"/>
      <c r="AK88" s="129"/>
      <c r="AL88" s="131"/>
      <c r="AM88" s="131"/>
      <c r="AN88" s="129"/>
      <c r="AR88" s="47">
        <v>81</v>
      </c>
      <c r="AS88" s="49">
        <v>5</v>
      </c>
      <c r="AU88" s="49">
        <v>81</v>
      </c>
      <c r="AV88" s="49">
        <v>10</v>
      </c>
    </row>
    <row r="89" spans="1:48" x14ac:dyDescent="0.2">
      <c r="A89" s="112">
        <v>56</v>
      </c>
      <c r="B89" s="17">
        <f>IF(Women[[#This Row],[PR Rang beim letzten Turnier]]&gt;Women[[#This Row],[PR Rang]],1,IF(Women[[#This Row],[PR Rang]]=Women[[#This Row],[PR Rang beim letzten Turnier]],0,-1))</f>
        <v>-1</v>
      </c>
      <c r="C89" s="112">
        <f>RANK(Women[[#This Row],[PR Punkte]],Women[PR Punkte],0)</f>
        <v>76</v>
      </c>
      <c r="D89" s="11" t="s">
        <v>47</v>
      </c>
      <c r="E89" s="9" t="s">
        <v>9</v>
      </c>
      <c r="F89" s="109">
        <f>SUM(Women[[#This Row],[PR 1]:[PR 3]])</f>
        <v>0</v>
      </c>
      <c r="G89" s="109">
        <f>LARGE(Women[[#This Row],[TS SH O 22.02.22]:[PR3]],1)</f>
        <v>0</v>
      </c>
      <c r="H89" s="109">
        <f>LARGE(Women[[#This Row],[TS SH O 22.02.22]:[PR3]],2)</f>
        <v>0</v>
      </c>
      <c r="I89" s="109">
        <f>LARGE(Women[[#This Row],[TS SH O 22.02.22]:[PR3]],3)</f>
        <v>0</v>
      </c>
      <c r="J89" s="9">
        <f>RANK(K89,$K$7:$K$108,0)</f>
        <v>76</v>
      </c>
      <c r="K89" s="109">
        <f>SUM(L89:AA89)</f>
        <v>0</v>
      </c>
      <c r="L89" s="128" t="str">
        <f>IFERROR(VLOOKUP(Women[[#This Row],[TS SH O 22.02.22 Rang]],$AU$15:$AV$72,2,0)*L$5," ")</f>
        <v xml:space="preserve"> </v>
      </c>
      <c r="M89" s="109" t="str">
        <f>IFERROR(VLOOKUP(Women[[#This Row],[TS SH W 22.02.22 Rang]],$AR$15:$AS$72,2,0)*M$5," ")</f>
        <v xml:space="preserve"> </v>
      </c>
      <c r="N89" s="109" t="str">
        <f>IFERROR(VLOOKUP(Women[[#This Row],[TS LU W 12.03.22 Rang]],$AR$15:$AS$72,2,0)*N$5," ")</f>
        <v xml:space="preserve"> </v>
      </c>
      <c r="O89" s="128" t="str">
        <f>IFERROR(VLOOKUP(Women[[#This Row],[TS SH O 23.04.22 Rang]],$AU$15:$AV$72,2,0)*O$5," ")</f>
        <v xml:space="preserve"> </v>
      </c>
      <c r="P89" s="177" t="str">
        <f>IFERROR(VLOOKUP(Women[[#This Row],[TS LA W 08.05.22 Rang]],$AR$15:$AS$72,2,0)*P$5," ")</f>
        <v xml:space="preserve"> </v>
      </c>
      <c r="Q89" s="128" t="str">
        <f>IFERROR(VLOOKUP(Women[[#This Row],[TS SG O 25.05.22 Rang]],$AU$15:$AV$72,2,0)*Q$5," ")</f>
        <v xml:space="preserve"> </v>
      </c>
      <c r="R89" s="177" t="str">
        <f>IFERROR(VLOOKUP(Women[[#This Row],[TS SG W 25.05.22 Rang]],$AR$15:$AS$72,2,0)*R$5," ")</f>
        <v xml:space="preserve"> </v>
      </c>
      <c r="S89" s="128" t="str">
        <f>IFERROR(VLOOKUP(Women[[#This Row],[TS SH O 25.06.22 Rang]],$AU$15:$AV$72,2,0)*$S$5," ")</f>
        <v xml:space="preserve"> </v>
      </c>
      <c r="T89" s="177" t="str">
        <f>IFERROR(VLOOKUP(Women[[#This Row],[TS SH W 25.06.22 Rang]],$AR$15:$AS$72,2,0)*T$5," ")</f>
        <v xml:space="preserve"> </v>
      </c>
      <c r="U89" s="177" t="str">
        <f>IFERROR(VLOOKUP(Women[[#This Row],[TS ZH W 02.07.22 Rang]],$AR$15:$AS$72,2,0)*U$5," ")</f>
        <v xml:space="preserve"> </v>
      </c>
      <c r="V89" s="128" t="str">
        <f>IFERROR(VLOOKUP(Women[[#This Row],[SM BE O/A 09.07.22 Rang]],$AU$15:$AV$72,2,0)*V87," ")</f>
        <v xml:space="preserve"> </v>
      </c>
      <c r="W89" s="128" t="str">
        <f>IFERROR(VLOOKUP(Women[[#This Row],[SM BE O/B 09.07.22 Rang]],$AU$15:$AV$72,2,0)*$W$5," ")</f>
        <v xml:space="preserve"> </v>
      </c>
      <c r="X89" s="177" t="str">
        <f>IFERROR(VLOOKUP(Women[[#This Row],[SM BE W 09.07.22 Rang]],$AR$15:$AS$72,2,0)*X$5," ")</f>
        <v xml:space="preserve"> </v>
      </c>
      <c r="Y89" s="11">
        <v>0</v>
      </c>
      <c r="Z89" s="11">
        <v>0</v>
      </c>
      <c r="AA89" s="11">
        <v>0</v>
      </c>
      <c r="AB89" s="131"/>
      <c r="AC89" s="129"/>
      <c r="AD89" s="129"/>
      <c r="AE89" s="131"/>
      <c r="AF89" s="129"/>
      <c r="AG89" s="131"/>
      <c r="AH89" s="129"/>
      <c r="AI89" s="131"/>
      <c r="AJ89" s="129"/>
      <c r="AK89" s="129"/>
      <c r="AL89" s="131"/>
      <c r="AM89" s="131"/>
      <c r="AN89" s="129"/>
      <c r="AR89" s="47">
        <v>82</v>
      </c>
      <c r="AS89" s="49">
        <v>5</v>
      </c>
      <c r="AU89" s="49">
        <v>82</v>
      </c>
      <c r="AV89" s="49">
        <v>10</v>
      </c>
    </row>
    <row r="90" spans="1:48" x14ac:dyDescent="0.2">
      <c r="A90" s="112">
        <v>57</v>
      </c>
      <c r="B90" s="17">
        <f>IF(Women[[#This Row],[PR Rang beim letzten Turnier]]&gt;Women[[#This Row],[PR Rang]],1,IF(Women[[#This Row],[PR Rang]]=Women[[#This Row],[PR Rang beim letzten Turnier]],0,-1))</f>
        <v>-1</v>
      </c>
      <c r="C90" s="112">
        <f>RANK(Women[[#This Row],[PR Punkte]],Women[PR Punkte],0)</f>
        <v>76</v>
      </c>
      <c r="D90" s="11" t="s">
        <v>201</v>
      </c>
      <c r="E90" s="12" t="s">
        <v>13</v>
      </c>
      <c r="F90" s="109">
        <f>SUM(Women[[#This Row],[PR 1]:[PR 3]])</f>
        <v>0</v>
      </c>
      <c r="G90" s="109">
        <f>LARGE(Women[[#This Row],[TS SH O 22.02.22]:[PR3]],1)</f>
        <v>0</v>
      </c>
      <c r="H90" s="109">
        <f>LARGE(Women[[#This Row],[TS SH O 22.02.22]:[PR3]],2)</f>
        <v>0</v>
      </c>
      <c r="I90" s="109">
        <f>LARGE(Women[[#This Row],[TS SH O 22.02.22]:[PR3]],3)</f>
        <v>0</v>
      </c>
      <c r="J90" s="86">
        <f>RANK(K90,$K$7:$K$108,0)</f>
        <v>76</v>
      </c>
      <c r="K90" s="109">
        <f>SUM(L90:AA90)</f>
        <v>0</v>
      </c>
      <c r="L90" s="128" t="str">
        <f>IFERROR(VLOOKUP(Women[[#This Row],[TS SH O 22.02.22 Rang]],$AU$15:$AV$72,2,0)*L$5," ")</f>
        <v xml:space="preserve"> </v>
      </c>
      <c r="M90" s="109" t="str">
        <f>IFERROR(VLOOKUP(Women[[#This Row],[TS SH W 22.02.22 Rang]],$AR$15:$AS$72,2,0)*M$5," ")</f>
        <v xml:space="preserve"> </v>
      </c>
      <c r="N90" s="109" t="str">
        <f>IFERROR(VLOOKUP(Women[[#This Row],[TS LU W 12.03.22 Rang]],$AR$15:$AS$72,2,0)*N$5," ")</f>
        <v xml:space="preserve"> </v>
      </c>
      <c r="O90" s="128" t="str">
        <f>IFERROR(VLOOKUP(Women[[#This Row],[TS SH O 23.04.22 Rang]],$AU$15:$AV$72,2,0)*O$5," ")</f>
        <v xml:space="preserve"> </v>
      </c>
      <c r="P90" s="177" t="str">
        <f>IFERROR(VLOOKUP(Women[[#This Row],[TS LA W 08.05.22 Rang]],$AR$15:$AS$72,2,0)*P$5," ")</f>
        <v xml:space="preserve"> </v>
      </c>
      <c r="Q90" s="128" t="str">
        <f>IFERROR(VLOOKUP(Women[[#This Row],[TS SG O 25.05.22 Rang]],$AU$15:$AV$72,2,0)*Q$5," ")</f>
        <v xml:space="preserve"> </v>
      </c>
      <c r="R90" s="177" t="str">
        <f>IFERROR(VLOOKUP(Women[[#This Row],[TS SG W 25.05.22 Rang]],$AR$15:$AS$72,2,0)*R$5," ")</f>
        <v xml:space="preserve"> </v>
      </c>
      <c r="S90" s="128" t="str">
        <f>IFERROR(VLOOKUP(Women[[#This Row],[TS SH O 25.06.22 Rang]],$AU$15:$AV$72,2,0)*$S$5," ")</f>
        <v xml:space="preserve"> </v>
      </c>
      <c r="T90" s="177" t="str">
        <f>IFERROR(VLOOKUP(Women[[#This Row],[TS SH W 25.06.22 Rang]],$AR$15:$AS$72,2,0)*T$5," ")</f>
        <v xml:space="preserve"> </v>
      </c>
      <c r="U90" s="177" t="str">
        <f>IFERROR(VLOOKUP(Women[[#This Row],[TS ZH W 02.07.22 Rang]],$AR$15:$AS$72,2,0)*U$5," ")</f>
        <v xml:space="preserve"> </v>
      </c>
      <c r="V90" s="128" t="str">
        <f>IFERROR(VLOOKUP(Women[[#This Row],[SM BE O/A 09.07.22 Rang]],$AU$15:$AV$72,2,0)*V88," ")</f>
        <v xml:space="preserve"> </v>
      </c>
      <c r="W90" s="128" t="str">
        <f>IFERROR(VLOOKUP(Women[[#This Row],[SM BE O/B 09.07.22 Rang]],$AU$15:$AV$72,2,0)*$W$5," ")</f>
        <v xml:space="preserve"> </v>
      </c>
      <c r="X90" s="177" t="str">
        <f>IFERROR(VLOOKUP(Women[[#This Row],[SM BE W 09.07.22 Rang]],$AR$15:$AS$72,2,0)*X$5," ")</f>
        <v xml:space="preserve"> </v>
      </c>
      <c r="Y90" s="11">
        <v>0</v>
      </c>
      <c r="Z90" s="11">
        <v>0</v>
      </c>
      <c r="AA90" s="11">
        <v>0</v>
      </c>
      <c r="AB90" s="131"/>
      <c r="AC90" s="129"/>
      <c r="AD90" s="129"/>
      <c r="AE90" s="131"/>
      <c r="AF90" s="129"/>
      <c r="AG90" s="131"/>
      <c r="AH90" s="129"/>
      <c r="AI90" s="131"/>
      <c r="AJ90" s="129"/>
      <c r="AK90" s="129"/>
      <c r="AL90" s="131"/>
      <c r="AM90" s="131"/>
      <c r="AN90" s="129"/>
    </row>
    <row r="91" spans="1:48" x14ac:dyDescent="0.2">
      <c r="A91" s="112">
        <v>57</v>
      </c>
      <c r="B91" s="17">
        <f>IF(Women[[#This Row],[PR Rang beim letzten Turnier]]&gt;Women[[#This Row],[PR Rang]],1,IF(Women[[#This Row],[PR Rang]]=Women[[#This Row],[PR Rang beim letzten Turnier]],0,-1))</f>
        <v>-1</v>
      </c>
      <c r="C91" s="112">
        <f>RANK(Women[[#This Row],[PR Punkte]],Women[PR Punkte],0)</f>
        <v>76</v>
      </c>
      <c r="D91" s="11" t="s">
        <v>200</v>
      </c>
      <c r="E91" s="12" t="s">
        <v>13</v>
      </c>
      <c r="F91" s="109">
        <f>SUM(Women[[#This Row],[PR 1]:[PR 3]])</f>
        <v>0</v>
      </c>
      <c r="G91" s="109">
        <f>LARGE(Women[[#This Row],[TS SH O 22.02.22]:[PR3]],1)</f>
        <v>0</v>
      </c>
      <c r="H91" s="109">
        <f>LARGE(Women[[#This Row],[TS SH O 22.02.22]:[PR3]],2)</f>
        <v>0</v>
      </c>
      <c r="I91" s="109">
        <f>LARGE(Women[[#This Row],[TS SH O 22.02.22]:[PR3]],3)</f>
        <v>0</v>
      </c>
      <c r="J91" s="86">
        <f>RANK(K91,$K$7:$K$108,0)</f>
        <v>76</v>
      </c>
      <c r="K91" s="109">
        <f>SUM(L91:AA91)</f>
        <v>0</v>
      </c>
      <c r="L91" s="128" t="str">
        <f>IFERROR(VLOOKUP(Women[[#This Row],[TS SH O 22.02.22 Rang]],$AU$15:$AV$72,2,0)*L$5," ")</f>
        <v xml:space="preserve"> </v>
      </c>
      <c r="M91" s="109" t="str">
        <f>IFERROR(VLOOKUP(Women[[#This Row],[TS SH W 22.02.22 Rang]],$AR$15:$AS$72,2,0)*M$5," ")</f>
        <v xml:space="preserve"> </v>
      </c>
      <c r="N91" s="109" t="str">
        <f>IFERROR(VLOOKUP(Women[[#This Row],[TS LU W 12.03.22 Rang]],$AR$15:$AS$72,2,0)*N$5," ")</f>
        <v xml:space="preserve"> </v>
      </c>
      <c r="O91" s="128" t="str">
        <f>IFERROR(VLOOKUP(Women[[#This Row],[TS SH O 23.04.22 Rang]],$AU$15:$AV$72,2,0)*O$5," ")</f>
        <v xml:space="preserve"> </v>
      </c>
      <c r="P91" s="177" t="str">
        <f>IFERROR(VLOOKUP(Women[[#This Row],[TS LA W 08.05.22 Rang]],$AR$15:$AS$72,2,0)*P$5," ")</f>
        <v xml:space="preserve"> </v>
      </c>
      <c r="Q91" s="128" t="str">
        <f>IFERROR(VLOOKUP(Women[[#This Row],[TS SG O 25.05.22 Rang]],$AU$15:$AV$72,2,0)*Q$5," ")</f>
        <v xml:space="preserve"> </v>
      </c>
      <c r="R91" s="177" t="str">
        <f>IFERROR(VLOOKUP(Women[[#This Row],[TS SG W 25.05.22 Rang]],$AR$15:$AS$72,2,0)*R$5," ")</f>
        <v xml:space="preserve"> </v>
      </c>
      <c r="S91" s="128" t="str">
        <f>IFERROR(VLOOKUP(Women[[#This Row],[TS SH O 25.06.22 Rang]],$AU$15:$AV$72,2,0)*$S$5," ")</f>
        <v xml:space="preserve"> </v>
      </c>
      <c r="T91" s="177" t="str">
        <f>IFERROR(VLOOKUP(Women[[#This Row],[TS SH W 25.06.22 Rang]],$AR$15:$AS$72,2,0)*T$5," ")</f>
        <v xml:space="preserve"> </v>
      </c>
      <c r="U91" s="177" t="str">
        <f>IFERROR(VLOOKUP(Women[[#This Row],[TS ZH W 02.07.22 Rang]],$AR$15:$AS$72,2,0)*U$5," ")</f>
        <v xml:space="preserve"> </v>
      </c>
      <c r="V91" s="128" t="str">
        <f>IFERROR(VLOOKUP(Women[[#This Row],[SM BE O/A 09.07.22 Rang]],$AU$15:$AV$72,2,0)*V89," ")</f>
        <v xml:space="preserve"> </v>
      </c>
      <c r="W91" s="128" t="str">
        <f>IFERROR(VLOOKUP(Women[[#This Row],[SM BE O/B 09.07.22 Rang]],$AU$15:$AV$72,2,0)*$W$5," ")</f>
        <v xml:space="preserve"> </v>
      </c>
      <c r="X91" s="177" t="str">
        <f>IFERROR(VLOOKUP(Women[[#This Row],[SM BE W 09.07.22 Rang]],$AR$15:$AS$72,2,0)*X$5," ")</f>
        <v xml:space="preserve"> </v>
      </c>
      <c r="Y91" s="11">
        <v>0</v>
      </c>
      <c r="Z91" s="11">
        <v>0</v>
      </c>
      <c r="AA91" s="11">
        <v>0</v>
      </c>
      <c r="AB91" s="131"/>
      <c r="AC91" s="129"/>
      <c r="AD91" s="129"/>
      <c r="AE91" s="131"/>
      <c r="AF91" s="129"/>
      <c r="AG91" s="131"/>
      <c r="AH91" s="129"/>
      <c r="AI91" s="131"/>
      <c r="AJ91" s="129"/>
      <c r="AK91" s="129"/>
      <c r="AL91" s="131"/>
      <c r="AM91" s="131"/>
      <c r="AN91" s="129"/>
      <c r="AR91" s="47"/>
      <c r="AS91" s="49"/>
      <c r="AU91" s="49"/>
      <c r="AV91" s="49"/>
    </row>
    <row r="92" spans="1:48" x14ac:dyDescent="0.2">
      <c r="A92" s="225">
        <v>59</v>
      </c>
      <c r="B92" s="198">
        <f>IF(Women[[#This Row],[PR Rang beim letzten Turnier]]&gt;Women[[#This Row],[PR Rang]],1,IF(Women[[#This Row],[PR Rang]]=Women[[#This Row],[PR Rang beim letzten Turnier]],0,-1))</f>
        <v>-1</v>
      </c>
      <c r="C92" s="225">
        <f>RANK(Women[[#This Row],[PR Punkte]],Women[PR Punkte],0)</f>
        <v>76</v>
      </c>
      <c r="D92" s="11" t="s">
        <v>565</v>
      </c>
      <c r="E92" s="11" t="s">
        <v>11</v>
      </c>
      <c r="F92" s="109">
        <f>SUM(Women[[#This Row],[PR 1]:[PR 3]])</f>
        <v>0</v>
      </c>
      <c r="G92" s="109">
        <f>LARGE(Women[[#This Row],[TS SH O 22.02.22]:[PR3]],1)</f>
        <v>0</v>
      </c>
      <c r="H92" s="109">
        <f>LARGE(Women[[#This Row],[TS SH O 22.02.22]:[PR3]],2)</f>
        <v>0</v>
      </c>
      <c r="I92" s="109">
        <f>LARGE(Women[[#This Row],[TS SH O 22.02.22]:[PR3]],3)</f>
        <v>0</v>
      </c>
      <c r="J92" s="86">
        <f>RANK(K92,$K$7:$K$108,0)</f>
        <v>76</v>
      </c>
      <c r="K92" s="109">
        <f>SUM(L92:AA92)</f>
        <v>0</v>
      </c>
      <c r="L92" s="128" t="str">
        <f>IFERROR(VLOOKUP(Women[[#This Row],[TS SH O 22.02.22 Rang]],$AU$15:$AV$72,2,0)*L$5," ")</f>
        <v xml:space="preserve"> </v>
      </c>
      <c r="M92" s="177" t="str">
        <f>IFERROR(VLOOKUP(Women[[#This Row],[TS SH W 22.02.22 Rang]],$AR$15:$AS$72,2,0)*M$5," ")</f>
        <v xml:space="preserve"> </v>
      </c>
      <c r="N92" s="177" t="str">
        <f>IFERROR(VLOOKUP(Women[[#This Row],[TS LU W 12.03.22 Rang]],$AR$15:$AS$72,2,0)*N$5," ")</f>
        <v xml:space="preserve"> </v>
      </c>
      <c r="O92" s="128" t="str">
        <f>IFERROR(VLOOKUP(Women[[#This Row],[TS SH O 23.04.22 Rang]],$AU$15:$AV$72,2,0)*O$5," ")</f>
        <v xml:space="preserve"> </v>
      </c>
      <c r="P92" s="177" t="str">
        <f>IFERROR(VLOOKUP(Women[[#This Row],[TS LA W 08.05.22 Rang]],$AR$15:$AS$72,2,0)*P$5," ")</f>
        <v xml:space="preserve"> </v>
      </c>
      <c r="Q92" s="128" t="str">
        <f>IFERROR(VLOOKUP(Women[[#This Row],[TS SG O 25.05.22 Rang]],$AU$15:$AV$72,2,0)*Q$5," ")</f>
        <v xml:space="preserve"> </v>
      </c>
      <c r="R92" s="177" t="str">
        <f>IFERROR(VLOOKUP(Women[[#This Row],[TS SG W 25.05.22 Rang]],$AR$15:$AS$72,2,0)*R$5," ")</f>
        <v xml:space="preserve"> </v>
      </c>
      <c r="S92" s="128" t="str">
        <f>IFERROR(VLOOKUP(Women[[#This Row],[TS SH O 25.06.22 Rang]],$AU$15:$AV$72,2,0)*$S$5," ")</f>
        <v xml:space="preserve"> </v>
      </c>
      <c r="T92" s="177" t="str">
        <f>IFERROR(VLOOKUP(Women[[#This Row],[TS SH W 25.06.22 Rang]],$AR$15:$AS$72,2,0)*T$5," ")</f>
        <v xml:space="preserve"> </v>
      </c>
      <c r="U92" s="177" t="str">
        <f>IFERROR(VLOOKUP(Women[[#This Row],[TS ZH W 02.07.22 Rang]],$AR$15:$AS$72,2,0)*U$5," ")</f>
        <v xml:space="preserve"> </v>
      </c>
      <c r="V92" s="128" t="str">
        <f>IFERROR(VLOOKUP(Women[[#This Row],[SM BE O/A 09.07.22 Rang]],$AU$15:$AV$72,2,0)*V90," ")</f>
        <v xml:space="preserve"> </v>
      </c>
      <c r="W92" s="128" t="str">
        <f>IFERROR(VLOOKUP(Women[[#This Row],[SM BE O/B 09.07.22 Rang]],$AU$15:$AV$72,2,0)*$W$5," ")</f>
        <v xml:space="preserve"> </v>
      </c>
      <c r="X92" s="177" t="str">
        <f>IFERROR(VLOOKUP(Women[[#This Row],[SM BE W 09.07.22 Rang]],$AR$15:$AS$72,2,0)*X$5," ")</f>
        <v xml:space="preserve"> </v>
      </c>
      <c r="Y92" s="11">
        <v>0</v>
      </c>
      <c r="Z92" s="11">
        <v>0</v>
      </c>
      <c r="AA92" s="11">
        <v>0</v>
      </c>
      <c r="AB92" s="131"/>
      <c r="AC92" s="129"/>
      <c r="AD92" s="129"/>
      <c r="AE92" s="131"/>
      <c r="AF92" s="129"/>
      <c r="AG92" s="131"/>
      <c r="AH92" s="129"/>
      <c r="AI92" s="131"/>
      <c r="AJ92" s="129"/>
      <c r="AK92" s="129"/>
      <c r="AL92" s="131"/>
      <c r="AM92" s="131"/>
      <c r="AN92" s="129"/>
    </row>
    <row r="93" spans="1:48" x14ac:dyDescent="0.2">
      <c r="A93" s="112">
        <v>60</v>
      </c>
      <c r="B93" s="17">
        <f>IF(Women[[#This Row],[PR Rang beim letzten Turnier]]&gt;Women[[#This Row],[PR Rang]],1,IF(Women[[#This Row],[PR Rang]]=Women[[#This Row],[PR Rang beim letzten Turnier]],0,-1))</f>
        <v>-1</v>
      </c>
      <c r="C93" s="112">
        <f>RANK(Women[[#This Row],[PR Punkte]],Women[PR Punkte],0)</f>
        <v>76</v>
      </c>
      <c r="D93" s="9" t="s">
        <v>276</v>
      </c>
      <c r="E93" s="9" t="s">
        <v>0</v>
      </c>
      <c r="F93" s="109">
        <f>SUM(Women[[#This Row],[PR 1]:[PR 3]])</f>
        <v>0</v>
      </c>
      <c r="G93" s="109">
        <f>LARGE(Women[[#This Row],[TS SH O 22.02.22]:[PR3]],1)</f>
        <v>0</v>
      </c>
      <c r="H93" s="109">
        <f>LARGE(Women[[#This Row],[TS SH O 22.02.22]:[PR3]],2)</f>
        <v>0</v>
      </c>
      <c r="I93" s="109">
        <f>LARGE(Women[[#This Row],[TS SH O 22.02.22]:[PR3]],3)</f>
        <v>0</v>
      </c>
      <c r="J93" s="9">
        <f>RANK(K93,$K$7:$K$108,0)</f>
        <v>76</v>
      </c>
      <c r="K93" s="109">
        <f>SUM(L93:AA93)</f>
        <v>0</v>
      </c>
      <c r="L93" s="128" t="str">
        <f>IFERROR(VLOOKUP(Women[[#This Row],[TS SH O 22.02.22 Rang]],$AU$15:$AV$72,2,0)*L$5," ")</f>
        <v xml:space="preserve"> </v>
      </c>
      <c r="M93" s="109" t="str">
        <f>IFERROR(VLOOKUP(Women[[#This Row],[TS SH W 22.02.22 Rang]],$AR$15:$AS$72,2,0)*M$5," ")</f>
        <v xml:space="preserve"> </v>
      </c>
      <c r="N93" s="109" t="str">
        <f>IFERROR(VLOOKUP(Women[[#This Row],[TS LU W 12.03.22 Rang]],$AR$15:$AS$72,2,0)*N$5," ")</f>
        <v xml:space="preserve"> </v>
      </c>
      <c r="O93" s="128" t="str">
        <f>IFERROR(VLOOKUP(Women[[#This Row],[TS SH O 23.04.22 Rang]],$AU$15:$AV$72,2,0)*O$5," ")</f>
        <v xml:space="preserve"> </v>
      </c>
      <c r="P93" s="177" t="str">
        <f>IFERROR(VLOOKUP(Women[[#This Row],[TS LA W 08.05.22 Rang]],$AR$15:$AS$72,2,0)*P$5," ")</f>
        <v xml:space="preserve"> </v>
      </c>
      <c r="Q93" s="128" t="str">
        <f>IFERROR(VLOOKUP(Women[[#This Row],[TS SG O 25.05.22 Rang]],$AU$15:$AV$72,2,0)*Q$5," ")</f>
        <v xml:space="preserve"> </v>
      </c>
      <c r="R93" s="177" t="str">
        <f>IFERROR(VLOOKUP(Women[[#This Row],[TS SG W 25.05.22 Rang]],$AR$15:$AS$72,2,0)*R$5," ")</f>
        <v xml:space="preserve"> </v>
      </c>
      <c r="S93" s="128" t="str">
        <f>IFERROR(VLOOKUP(Women[[#This Row],[TS SH O 25.06.22 Rang]],$AU$15:$AV$72,2,0)*$S$5," ")</f>
        <v xml:space="preserve"> </v>
      </c>
      <c r="T93" s="177" t="str">
        <f>IFERROR(VLOOKUP(Women[[#This Row],[TS SH W 25.06.22 Rang]],$AR$15:$AS$72,2,0)*T$5," ")</f>
        <v xml:space="preserve"> </v>
      </c>
      <c r="U93" s="177" t="str">
        <f>IFERROR(VLOOKUP(Women[[#This Row],[TS ZH W 02.07.22 Rang]],$AR$15:$AS$72,2,0)*U$5," ")</f>
        <v xml:space="preserve"> </v>
      </c>
      <c r="V93" s="128" t="str">
        <f>IFERROR(VLOOKUP(Women[[#This Row],[SM BE O/A 09.07.22 Rang]],$AU$15:$AV$72,2,0)*V91," ")</f>
        <v xml:space="preserve"> </v>
      </c>
      <c r="W93" s="128" t="str">
        <f>IFERROR(VLOOKUP(Women[[#This Row],[SM BE O/B 09.07.22 Rang]],$AU$15:$AV$72,2,0)*$W$5," ")</f>
        <v xml:space="preserve"> </v>
      </c>
      <c r="X93" s="177" t="str">
        <f>IFERROR(VLOOKUP(Women[[#This Row],[SM BE W 09.07.22 Rang]],$AR$15:$AS$72,2,0)*X$5," ")</f>
        <v xml:space="preserve"> </v>
      </c>
      <c r="Y93" s="11">
        <v>0</v>
      </c>
      <c r="Z93" s="11">
        <v>0</v>
      </c>
      <c r="AA93" s="11">
        <v>0</v>
      </c>
      <c r="AB93" s="131"/>
      <c r="AC93" s="129"/>
      <c r="AD93" s="129"/>
      <c r="AE93" s="131"/>
      <c r="AF93" s="129"/>
      <c r="AG93" s="131"/>
      <c r="AH93" s="129"/>
      <c r="AI93" s="131"/>
      <c r="AJ93" s="129"/>
      <c r="AK93" s="129"/>
      <c r="AL93" s="131"/>
      <c r="AM93" s="131"/>
      <c r="AN93" s="129"/>
    </row>
    <row r="94" spans="1:48" x14ac:dyDescent="0.2">
      <c r="A94" s="112">
        <v>61</v>
      </c>
      <c r="B94" s="17">
        <f>IF(Women[[#This Row],[PR Rang beim letzten Turnier]]&gt;Women[[#This Row],[PR Rang]],1,IF(Women[[#This Row],[PR Rang]]=Women[[#This Row],[PR Rang beim letzten Turnier]],0,-1))</f>
        <v>-1</v>
      </c>
      <c r="C94" s="112">
        <f>RANK(Women[[#This Row],[PR Punkte]],Women[PR Punkte],0)</f>
        <v>76</v>
      </c>
      <c r="D94" s="11" t="s">
        <v>124</v>
      </c>
      <c r="E94" s="9" t="s">
        <v>13</v>
      </c>
      <c r="F94" s="109">
        <f>SUM(Women[[#This Row],[PR 1]:[PR 3]])</f>
        <v>0</v>
      </c>
      <c r="G94" s="109">
        <f>LARGE(Women[[#This Row],[TS SH O 22.02.22]:[PR3]],1)</f>
        <v>0</v>
      </c>
      <c r="H94" s="109">
        <f>LARGE(Women[[#This Row],[TS SH O 22.02.22]:[PR3]],2)</f>
        <v>0</v>
      </c>
      <c r="I94" s="109">
        <f>LARGE(Women[[#This Row],[TS SH O 22.02.22]:[PR3]],3)</f>
        <v>0</v>
      </c>
      <c r="J94" s="9">
        <f>RANK(K94,$K$7:$K$108,0)</f>
        <v>76</v>
      </c>
      <c r="K94" s="109">
        <f>SUM(L94:AA94)</f>
        <v>0</v>
      </c>
      <c r="L94" s="128" t="str">
        <f>IFERROR(VLOOKUP(Women[[#This Row],[TS SH O 22.02.22 Rang]],$AU$15:$AV$72,2,0)*L$5," ")</f>
        <v xml:space="preserve"> </v>
      </c>
      <c r="M94" s="109" t="str">
        <f>IFERROR(VLOOKUP(Women[[#This Row],[TS SH W 22.02.22 Rang]],$AR$15:$AS$72,2,0)*M$5," ")</f>
        <v xml:space="preserve"> </v>
      </c>
      <c r="N94" s="109" t="str">
        <f>IFERROR(VLOOKUP(Women[[#This Row],[TS LU W 12.03.22 Rang]],$AR$15:$AS$72,2,0)*N$5," ")</f>
        <v xml:space="preserve"> </v>
      </c>
      <c r="O94" s="128" t="str">
        <f>IFERROR(VLOOKUP(Women[[#This Row],[TS SH O 23.04.22 Rang]],$AU$15:$AV$72,2,0)*O$5," ")</f>
        <v xml:space="preserve"> </v>
      </c>
      <c r="P94" s="177" t="str">
        <f>IFERROR(VLOOKUP(Women[[#This Row],[TS LA W 08.05.22 Rang]],$AR$15:$AS$72,2,0)*P$5," ")</f>
        <v xml:space="preserve"> </v>
      </c>
      <c r="Q94" s="128" t="str">
        <f>IFERROR(VLOOKUP(Women[[#This Row],[TS SG O 25.05.22 Rang]],$AU$15:$AV$72,2,0)*Q$5," ")</f>
        <v xml:space="preserve"> </v>
      </c>
      <c r="R94" s="177" t="str">
        <f>IFERROR(VLOOKUP(Women[[#This Row],[TS SG W 25.05.22 Rang]],$AR$15:$AS$72,2,0)*R$5," ")</f>
        <v xml:space="preserve"> </v>
      </c>
      <c r="S94" s="128" t="str">
        <f>IFERROR(VLOOKUP(Women[[#This Row],[TS SH O 25.06.22 Rang]],$AU$15:$AV$72,2,0)*$S$5," ")</f>
        <v xml:space="preserve"> </v>
      </c>
      <c r="T94" s="177" t="str">
        <f>IFERROR(VLOOKUP(Women[[#This Row],[TS SH W 25.06.22 Rang]],$AR$15:$AS$72,2,0)*T$5," ")</f>
        <v xml:space="preserve"> </v>
      </c>
      <c r="U94" s="177" t="str">
        <f>IFERROR(VLOOKUP(Women[[#This Row],[TS ZH W 02.07.22 Rang]],$AR$15:$AS$72,2,0)*U$5," ")</f>
        <v xml:space="preserve"> </v>
      </c>
      <c r="V94" s="128" t="str">
        <f>IFERROR(VLOOKUP(Women[[#This Row],[SM BE O/A 09.07.22 Rang]],$AU$15:$AV$72,2,0)*V92," ")</f>
        <v xml:space="preserve"> </v>
      </c>
      <c r="W94" s="128" t="str">
        <f>IFERROR(VLOOKUP(Women[[#This Row],[SM BE O/B 09.07.22 Rang]],$AU$15:$AV$72,2,0)*$W$5," ")</f>
        <v xml:space="preserve"> </v>
      </c>
      <c r="X94" s="177" t="str">
        <f>IFERROR(VLOOKUP(Women[[#This Row],[SM BE W 09.07.22 Rang]],$AR$15:$AS$72,2,0)*X$5," ")</f>
        <v xml:space="preserve"> </v>
      </c>
      <c r="Y94" s="11">
        <v>0</v>
      </c>
      <c r="Z94" s="11">
        <v>0</v>
      </c>
      <c r="AA94" s="11">
        <v>0</v>
      </c>
      <c r="AB94" s="131"/>
      <c r="AC94" s="129"/>
      <c r="AD94" s="129"/>
      <c r="AE94" s="131"/>
      <c r="AF94" s="129"/>
      <c r="AG94" s="131"/>
      <c r="AH94" s="129"/>
      <c r="AI94" s="131"/>
      <c r="AJ94" s="129"/>
      <c r="AK94" s="129"/>
      <c r="AL94" s="131"/>
      <c r="AM94" s="131"/>
      <c r="AN94" s="129"/>
    </row>
    <row r="95" spans="1:48" x14ac:dyDescent="0.2">
      <c r="A95" s="112">
        <v>66</v>
      </c>
      <c r="B95" s="17">
        <f>IF(Women[[#This Row],[PR Rang beim letzten Turnier]]&gt;Women[[#This Row],[PR Rang]],1,IF(Women[[#This Row],[PR Rang]]=Women[[#This Row],[PR Rang beim letzten Turnier]],0,-1))</f>
        <v>-1</v>
      </c>
      <c r="C95" s="112">
        <f>RANK(Women[[#This Row],[PR Punkte]],Women[PR Punkte],0)</f>
        <v>76</v>
      </c>
      <c r="D95" s="43" t="s">
        <v>225</v>
      </c>
      <c r="E95" s="11" t="s">
        <v>0</v>
      </c>
      <c r="F95" s="109">
        <f>SUM(Women[[#This Row],[PR 1]:[PR 3]])</f>
        <v>0</v>
      </c>
      <c r="G95" s="109">
        <f>LARGE(Women[[#This Row],[TS SH O 22.02.22]:[PR3]],1)</f>
        <v>0</v>
      </c>
      <c r="H95" s="109">
        <f>LARGE(Women[[#This Row],[TS SH O 22.02.22]:[PR3]],2)</f>
        <v>0</v>
      </c>
      <c r="I95" s="109">
        <f>LARGE(Women[[#This Row],[TS SH O 22.02.22]:[PR3]],3)</f>
        <v>0</v>
      </c>
      <c r="J95" s="11">
        <f>RANK(K95,$K$7:$K$108,0)</f>
        <v>76</v>
      </c>
      <c r="K95" s="109">
        <f>SUM(L95:AA95)</f>
        <v>0</v>
      </c>
      <c r="L95" s="128" t="str">
        <f>IFERROR(VLOOKUP(Women[[#This Row],[TS SH O 22.02.22 Rang]],$AU$15:$AV$72,2,0)*L$5," ")</f>
        <v xml:space="preserve"> </v>
      </c>
      <c r="M95" s="109" t="str">
        <f>IFERROR(VLOOKUP(Women[[#This Row],[TS SH W 22.02.22 Rang]],$AR$15:$AS$72,2,0)*M$5," ")</f>
        <v xml:space="preserve"> </v>
      </c>
      <c r="N95" s="109" t="str">
        <f>IFERROR(VLOOKUP(Women[[#This Row],[TS LU W 12.03.22 Rang]],$AR$15:$AS$72,2,0)*N$5," ")</f>
        <v xml:space="preserve"> </v>
      </c>
      <c r="O95" s="128" t="str">
        <f>IFERROR(VLOOKUP(Women[[#This Row],[TS SH O 23.04.22 Rang]],$AU$15:$AV$72,2,0)*O$5," ")</f>
        <v xml:space="preserve"> </v>
      </c>
      <c r="P95" s="177" t="str">
        <f>IFERROR(VLOOKUP(Women[[#This Row],[TS LA W 08.05.22 Rang]],$AR$15:$AS$72,2,0)*P$5," ")</f>
        <v xml:space="preserve"> </v>
      </c>
      <c r="Q95" s="128" t="str">
        <f>IFERROR(VLOOKUP(Women[[#This Row],[TS SG O 25.05.22 Rang]],$AU$15:$AV$72,2,0)*Q$5," ")</f>
        <v xml:space="preserve"> </v>
      </c>
      <c r="R95" s="177" t="str">
        <f>IFERROR(VLOOKUP(Women[[#This Row],[TS SG W 25.05.22 Rang]],$AR$15:$AS$72,2,0)*R$5," ")</f>
        <v xml:space="preserve"> </v>
      </c>
      <c r="S95" s="128" t="str">
        <f>IFERROR(VLOOKUP(Women[[#This Row],[TS SH O 25.06.22 Rang]],$AU$15:$AV$72,2,0)*$S$5," ")</f>
        <v xml:space="preserve"> </v>
      </c>
      <c r="T95" s="177" t="str">
        <f>IFERROR(VLOOKUP(Women[[#This Row],[TS SH W 25.06.22 Rang]],$AR$15:$AS$72,2,0)*T$5," ")</f>
        <v xml:space="preserve"> </v>
      </c>
      <c r="U95" s="177" t="str">
        <f>IFERROR(VLOOKUP(Women[[#This Row],[TS ZH W 02.07.22 Rang]],$AR$15:$AS$72,2,0)*U$5," ")</f>
        <v xml:space="preserve"> </v>
      </c>
      <c r="V95" s="128" t="str">
        <f>IFERROR(VLOOKUP(Women[[#This Row],[SM BE O/A 09.07.22 Rang]],$AU$15:$AV$72,2,0)*V93," ")</f>
        <v xml:space="preserve"> </v>
      </c>
      <c r="W95" s="128" t="str">
        <f>IFERROR(VLOOKUP(Women[[#This Row],[SM BE O/B 09.07.22 Rang]],$AU$15:$AV$72,2,0)*$W$5," ")</f>
        <v xml:space="preserve"> </v>
      </c>
      <c r="X95" s="177" t="str">
        <f>IFERROR(VLOOKUP(Women[[#This Row],[SM BE W 09.07.22 Rang]],$AR$15:$AS$72,2,0)*X$5," ")</f>
        <v xml:space="preserve"> </v>
      </c>
      <c r="Y95" s="11">
        <v>0</v>
      </c>
      <c r="Z95" s="11">
        <v>0</v>
      </c>
      <c r="AA95" s="11">
        <v>0</v>
      </c>
      <c r="AB95" s="131"/>
      <c r="AC95" s="129"/>
      <c r="AD95" s="129"/>
      <c r="AE95" s="131"/>
      <c r="AF95" s="129"/>
      <c r="AG95" s="131"/>
      <c r="AH95" s="129"/>
      <c r="AI95" s="131"/>
      <c r="AJ95" s="129"/>
      <c r="AK95" s="129"/>
      <c r="AL95" s="131"/>
      <c r="AM95" s="131"/>
      <c r="AN95" s="129"/>
    </row>
    <row r="96" spans="1:48" x14ac:dyDescent="0.2">
      <c r="A96" s="112">
        <v>66</v>
      </c>
      <c r="B96" s="17">
        <f>IF(Women[[#This Row],[PR Rang beim letzten Turnier]]&gt;Women[[#This Row],[PR Rang]],1,IF(Women[[#This Row],[PR Rang]]=Women[[#This Row],[PR Rang beim letzten Turnier]],0,-1))</f>
        <v>-1</v>
      </c>
      <c r="C96" s="112">
        <f>RANK(Women[[#This Row],[PR Punkte]],Women[PR Punkte],0)</f>
        <v>76</v>
      </c>
      <c r="D96" s="43" t="s">
        <v>227</v>
      </c>
      <c r="E96" s="11" t="s">
        <v>11</v>
      </c>
      <c r="F96" s="109">
        <f>SUM(Women[[#This Row],[PR 1]:[PR 3]])</f>
        <v>0</v>
      </c>
      <c r="G96" s="109">
        <f>LARGE(Women[[#This Row],[TS SH O 22.02.22]:[PR3]],1)</f>
        <v>0</v>
      </c>
      <c r="H96" s="109">
        <f>LARGE(Women[[#This Row],[TS SH O 22.02.22]:[PR3]],2)</f>
        <v>0</v>
      </c>
      <c r="I96" s="109">
        <f>LARGE(Women[[#This Row],[TS SH O 22.02.22]:[PR3]],3)</f>
        <v>0</v>
      </c>
      <c r="J96" s="11">
        <f>RANK(K96,$K$7:$K$108,0)</f>
        <v>76</v>
      </c>
      <c r="K96" s="109">
        <f>SUM(L96:AA96)</f>
        <v>0</v>
      </c>
      <c r="L96" s="128" t="str">
        <f>IFERROR(VLOOKUP(Women[[#This Row],[TS SH O 22.02.22 Rang]],$AU$15:$AV$72,2,0)*L$5," ")</f>
        <v xml:space="preserve"> </v>
      </c>
      <c r="M96" s="109" t="str">
        <f>IFERROR(VLOOKUP(Women[[#This Row],[TS SH W 22.02.22 Rang]],$AR$15:$AS$72,2,0)*M$5," ")</f>
        <v xml:space="preserve"> </v>
      </c>
      <c r="N96" s="109" t="str">
        <f>IFERROR(VLOOKUP(Women[[#This Row],[TS LU W 12.03.22 Rang]],$AR$15:$AS$72,2,0)*N$5," ")</f>
        <v xml:space="preserve"> </v>
      </c>
      <c r="O96" s="128" t="str">
        <f>IFERROR(VLOOKUP(Women[[#This Row],[TS SH O 23.04.22 Rang]],$AU$15:$AV$72,2,0)*O$5," ")</f>
        <v xml:space="preserve"> </v>
      </c>
      <c r="P96" s="177" t="str">
        <f>IFERROR(VLOOKUP(Women[[#This Row],[TS LA W 08.05.22 Rang]],$AR$15:$AS$72,2,0)*P$5," ")</f>
        <v xml:space="preserve"> </v>
      </c>
      <c r="Q96" s="128" t="str">
        <f>IFERROR(VLOOKUP(Women[[#This Row],[TS SG O 25.05.22 Rang]],$AU$15:$AV$72,2,0)*Q$5," ")</f>
        <v xml:space="preserve"> </v>
      </c>
      <c r="R96" s="177" t="str">
        <f>IFERROR(VLOOKUP(Women[[#This Row],[TS SG W 25.05.22 Rang]],$AR$15:$AS$72,2,0)*R$5," ")</f>
        <v xml:space="preserve"> </v>
      </c>
      <c r="S96" s="128" t="str">
        <f>IFERROR(VLOOKUP(Women[[#This Row],[TS SH O 25.06.22 Rang]],$AU$15:$AV$72,2,0)*$S$5," ")</f>
        <v xml:space="preserve"> </v>
      </c>
      <c r="T96" s="177" t="str">
        <f>IFERROR(VLOOKUP(Women[[#This Row],[TS SH W 25.06.22 Rang]],$AR$15:$AS$72,2,0)*T$5," ")</f>
        <v xml:space="preserve"> </v>
      </c>
      <c r="U96" s="177" t="str">
        <f>IFERROR(VLOOKUP(Women[[#This Row],[TS ZH W 02.07.22 Rang]],$AR$15:$AS$72,2,0)*U$5," ")</f>
        <v xml:space="preserve"> </v>
      </c>
      <c r="V96" s="128" t="str">
        <f>IFERROR(VLOOKUP(Women[[#This Row],[SM BE O/A 09.07.22 Rang]],$AU$15:$AV$72,2,0)*V94," ")</f>
        <v xml:space="preserve"> </v>
      </c>
      <c r="W96" s="128" t="str">
        <f>IFERROR(VLOOKUP(Women[[#This Row],[SM BE O/B 09.07.22 Rang]],$AU$15:$AV$72,2,0)*$W$5," ")</f>
        <v xml:space="preserve"> </v>
      </c>
      <c r="X96" s="177" t="str">
        <f>IFERROR(VLOOKUP(Women[[#This Row],[SM BE W 09.07.22 Rang]],$AR$15:$AS$72,2,0)*X$5," ")</f>
        <v xml:space="preserve"> </v>
      </c>
      <c r="Y96" s="11">
        <v>0</v>
      </c>
      <c r="Z96" s="11">
        <v>0</v>
      </c>
      <c r="AA96" s="11">
        <v>0</v>
      </c>
      <c r="AB96" s="131"/>
      <c r="AC96" s="129"/>
      <c r="AD96" s="129"/>
      <c r="AE96" s="131"/>
      <c r="AF96" s="129"/>
      <c r="AG96" s="131"/>
      <c r="AH96" s="129"/>
      <c r="AI96" s="131"/>
      <c r="AJ96" s="129"/>
      <c r="AK96" s="129"/>
      <c r="AL96" s="131"/>
      <c r="AM96" s="131"/>
      <c r="AN96" s="129"/>
    </row>
    <row r="97" spans="1:40" x14ac:dyDescent="0.2">
      <c r="A97" s="112">
        <v>66</v>
      </c>
      <c r="B97" s="17">
        <f>IF(Women[[#This Row],[PR Rang beim letzten Turnier]]&gt;Women[[#This Row],[PR Rang]],1,IF(Women[[#This Row],[PR Rang]]=Women[[#This Row],[PR Rang beim letzten Turnier]],0,-1))</f>
        <v>-1</v>
      </c>
      <c r="C97" s="112">
        <f>RANK(Women[[#This Row],[PR Punkte]],Women[PR Punkte],0)</f>
        <v>76</v>
      </c>
      <c r="D97" s="43" t="s">
        <v>229</v>
      </c>
      <c r="E97" s="11" t="s">
        <v>11</v>
      </c>
      <c r="F97" s="109">
        <f>SUM(Women[[#This Row],[PR 1]:[PR 3]])</f>
        <v>0</v>
      </c>
      <c r="G97" s="109">
        <f>LARGE(Women[[#This Row],[TS SH O 22.02.22]:[PR3]],1)</f>
        <v>0</v>
      </c>
      <c r="H97" s="109">
        <f>LARGE(Women[[#This Row],[TS SH O 22.02.22]:[PR3]],2)</f>
        <v>0</v>
      </c>
      <c r="I97" s="109">
        <f>LARGE(Women[[#This Row],[TS SH O 22.02.22]:[PR3]],3)</f>
        <v>0</v>
      </c>
      <c r="J97" s="11">
        <f>RANK(K97,$K$7:$K$108,0)</f>
        <v>76</v>
      </c>
      <c r="K97" s="109">
        <f>SUM(L97:AA97)</f>
        <v>0</v>
      </c>
      <c r="L97" s="128" t="str">
        <f>IFERROR(VLOOKUP(Women[[#This Row],[TS SH O 22.02.22 Rang]],$AU$15:$AV$72,2,0)*L$5," ")</f>
        <v xml:space="preserve"> </v>
      </c>
      <c r="M97" s="109" t="str">
        <f>IFERROR(VLOOKUP(Women[[#This Row],[TS SH W 22.02.22 Rang]],$AR$15:$AS$72,2,0)*M$5," ")</f>
        <v xml:space="preserve"> </v>
      </c>
      <c r="N97" s="109" t="str">
        <f>IFERROR(VLOOKUP(Women[[#This Row],[TS LU W 12.03.22 Rang]],$AR$15:$AS$72,2,0)*N$5," ")</f>
        <v xml:space="preserve"> </v>
      </c>
      <c r="O97" s="128" t="str">
        <f>IFERROR(VLOOKUP(Women[[#This Row],[TS SH O 23.04.22 Rang]],$AU$15:$AV$72,2,0)*O$5," ")</f>
        <v xml:space="preserve"> </v>
      </c>
      <c r="P97" s="177" t="str">
        <f>IFERROR(VLOOKUP(Women[[#This Row],[TS LA W 08.05.22 Rang]],$AR$15:$AS$72,2,0)*P$5," ")</f>
        <v xml:space="preserve"> </v>
      </c>
      <c r="Q97" s="128" t="str">
        <f>IFERROR(VLOOKUP(Women[[#This Row],[TS SG O 25.05.22 Rang]],$AU$15:$AV$72,2,0)*Q$5," ")</f>
        <v xml:space="preserve"> </v>
      </c>
      <c r="R97" s="177" t="str">
        <f>IFERROR(VLOOKUP(Women[[#This Row],[TS SG W 25.05.22 Rang]],$AR$15:$AS$72,2,0)*R$5," ")</f>
        <v xml:space="preserve"> </v>
      </c>
      <c r="S97" s="128" t="str">
        <f>IFERROR(VLOOKUP(Women[[#This Row],[TS SH O 25.06.22 Rang]],$AU$15:$AV$72,2,0)*$S$5," ")</f>
        <v xml:space="preserve"> </v>
      </c>
      <c r="T97" s="177" t="str">
        <f>IFERROR(VLOOKUP(Women[[#This Row],[TS SH W 25.06.22 Rang]],$AR$15:$AS$72,2,0)*T$5," ")</f>
        <v xml:space="preserve"> </v>
      </c>
      <c r="U97" s="177" t="str">
        <f>IFERROR(VLOOKUP(Women[[#This Row],[TS ZH W 02.07.22 Rang]],$AR$15:$AS$72,2,0)*U$5," ")</f>
        <v xml:space="preserve"> </v>
      </c>
      <c r="V97" s="128" t="str">
        <f>IFERROR(VLOOKUP(Women[[#This Row],[SM BE O/A 09.07.22 Rang]],$AU$15:$AV$72,2,0)*V95," ")</f>
        <v xml:space="preserve"> </v>
      </c>
      <c r="W97" s="128" t="str">
        <f>IFERROR(VLOOKUP(Women[[#This Row],[SM BE O/B 09.07.22 Rang]],$AU$15:$AV$72,2,0)*$W$5," ")</f>
        <v xml:space="preserve"> </v>
      </c>
      <c r="X97" s="177" t="str">
        <f>IFERROR(VLOOKUP(Women[[#This Row],[SM BE W 09.07.22 Rang]],$AR$15:$AS$72,2,0)*X$5," ")</f>
        <v xml:space="preserve"> </v>
      </c>
      <c r="Y97" s="11">
        <v>0</v>
      </c>
      <c r="Z97" s="11">
        <v>0</v>
      </c>
      <c r="AA97" s="11">
        <v>0</v>
      </c>
      <c r="AB97" s="131"/>
      <c r="AC97" s="129"/>
      <c r="AD97" s="129"/>
      <c r="AE97" s="131"/>
      <c r="AF97" s="129"/>
      <c r="AG97" s="131"/>
      <c r="AH97" s="129"/>
      <c r="AI97" s="131"/>
      <c r="AJ97" s="129"/>
      <c r="AK97" s="129"/>
      <c r="AL97" s="131"/>
      <c r="AM97" s="131"/>
      <c r="AN97" s="129"/>
    </row>
    <row r="98" spans="1:40" x14ac:dyDescent="0.2">
      <c r="A98" s="112">
        <v>66</v>
      </c>
      <c r="B98" s="17">
        <f>IF(Women[[#This Row],[PR Rang beim letzten Turnier]]&gt;Women[[#This Row],[PR Rang]],1,IF(Women[[#This Row],[PR Rang]]=Women[[#This Row],[PR Rang beim letzten Turnier]],0,-1))</f>
        <v>-1</v>
      </c>
      <c r="C98" s="112">
        <f>RANK(Women[[#This Row],[PR Punkte]],Women[PR Punkte],0)</f>
        <v>76</v>
      </c>
      <c r="D98" s="43" t="s">
        <v>226</v>
      </c>
      <c r="E98" s="11" t="s">
        <v>11</v>
      </c>
      <c r="F98" s="109">
        <f>SUM(Women[[#This Row],[PR 1]:[PR 3]])</f>
        <v>0</v>
      </c>
      <c r="G98" s="109">
        <f>LARGE(Women[[#This Row],[TS SH O 22.02.22]:[PR3]],1)</f>
        <v>0</v>
      </c>
      <c r="H98" s="109">
        <f>LARGE(Women[[#This Row],[TS SH O 22.02.22]:[PR3]],2)</f>
        <v>0</v>
      </c>
      <c r="I98" s="109">
        <f>LARGE(Women[[#This Row],[TS SH O 22.02.22]:[PR3]],3)</f>
        <v>0</v>
      </c>
      <c r="J98" s="11">
        <f>RANK(K98,$K$7:$K$108,0)</f>
        <v>76</v>
      </c>
      <c r="K98" s="109">
        <f>SUM(L98:AA98)</f>
        <v>0</v>
      </c>
      <c r="L98" s="128" t="str">
        <f>IFERROR(VLOOKUP(Women[[#This Row],[TS SH O 22.02.22 Rang]],$AU$15:$AV$72,2,0)*L$5," ")</f>
        <v xml:space="preserve"> </v>
      </c>
      <c r="M98" s="109" t="str">
        <f>IFERROR(VLOOKUP(Women[[#This Row],[TS SH W 22.02.22 Rang]],$AR$15:$AS$72,2,0)*M$5," ")</f>
        <v xml:space="preserve"> </v>
      </c>
      <c r="N98" s="109" t="str">
        <f>IFERROR(VLOOKUP(Women[[#This Row],[TS LU W 12.03.22 Rang]],$AR$15:$AS$72,2,0)*N$5," ")</f>
        <v xml:space="preserve"> </v>
      </c>
      <c r="O98" s="128" t="str">
        <f>IFERROR(VLOOKUP(Women[[#This Row],[TS SH O 23.04.22 Rang]],$AU$15:$AV$72,2,0)*O$5," ")</f>
        <v xml:space="preserve"> </v>
      </c>
      <c r="P98" s="177" t="str">
        <f>IFERROR(VLOOKUP(Women[[#This Row],[TS LA W 08.05.22 Rang]],$AR$15:$AS$72,2,0)*P$5," ")</f>
        <v xml:space="preserve"> </v>
      </c>
      <c r="Q98" s="128" t="str">
        <f>IFERROR(VLOOKUP(Women[[#This Row],[TS SG O 25.05.22 Rang]],$AU$15:$AV$72,2,0)*Q$5," ")</f>
        <v xml:space="preserve"> </v>
      </c>
      <c r="R98" s="177" t="str">
        <f>IFERROR(VLOOKUP(Women[[#This Row],[TS SG W 25.05.22 Rang]],$AR$15:$AS$72,2,0)*R$5," ")</f>
        <v xml:space="preserve"> </v>
      </c>
      <c r="S98" s="128" t="str">
        <f>IFERROR(VLOOKUP(Women[[#This Row],[TS SH O 25.06.22 Rang]],$AU$15:$AV$72,2,0)*$S$5," ")</f>
        <v xml:space="preserve"> </v>
      </c>
      <c r="T98" s="177" t="str">
        <f>IFERROR(VLOOKUP(Women[[#This Row],[TS SH W 25.06.22 Rang]],$AR$15:$AS$72,2,0)*T$5," ")</f>
        <v xml:space="preserve"> </v>
      </c>
      <c r="U98" s="177" t="str">
        <f>IFERROR(VLOOKUP(Women[[#This Row],[TS ZH W 02.07.22 Rang]],$AR$15:$AS$72,2,0)*U$5," ")</f>
        <v xml:space="preserve"> </v>
      </c>
      <c r="V98" s="128" t="str">
        <f>IFERROR(VLOOKUP(Women[[#This Row],[SM BE O/A 09.07.22 Rang]],$AU$15:$AV$72,2,0)*V96," ")</f>
        <v xml:space="preserve"> </v>
      </c>
      <c r="W98" s="128" t="str">
        <f>IFERROR(VLOOKUP(Women[[#This Row],[SM BE O/B 09.07.22 Rang]],$AU$15:$AV$72,2,0)*$W$5," ")</f>
        <v xml:space="preserve"> </v>
      </c>
      <c r="X98" s="177" t="str">
        <f>IFERROR(VLOOKUP(Women[[#This Row],[SM BE W 09.07.22 Rang]],$AR$15:$AS$72,2,0)*X$5," ")</f>
        <v xml:space="preserve"> </v>
      </c>
      <c r="Y98" s="11">
        <v>0</v>
      </c>
      <c r="Z98" s="11">
        <v>0</v>
      </c>
      <c r="AA98" s="11">
        <v>0</v>
      </c>
      <c r="AB98" s="131"/>
      <c r="AC98" s="129"/>
      <c r="AD98" s="129"/>
      <c r="AE98" s="131"/>
      <c r="AF98" s="129"/>
      <c r="AG98" s="131"/>
      <c r="AH98" s="129"/>
      <c r="AI98" s="131"/>
      <c r="AJ98" s="129"/>
      <c r="AK98" s="129"/>
      <c r="AL98" s="131"/>
      <c r="AM98" s="131"/>
      <c r="AN98" s="129"/>
    </row>
    <row r="99" spans="1:40" x14ac:dyDescent="0.2">
      <c r="A99" s="112">
        <v>66</v>
      </c>
      <c r="B99" s="17">
        <f>IF(Women[[#This Row],[PR Rang beim letzten Turnier]]&gt;Women[[#This Row],[PR Rang]],1,IF(Women[[#This Row],[PR Rang]]=Women[[#This Row],[PR Rang beim letzten Turnier]],0,-1))</f>
        <v>-1</v>
      </c>
      <c r="C99" s="112">
        <f>RANK(Women[[#This Row],[PR Punkte]],Women[PR Punkte],0)</f>
        <v>76</v>
      </c>
      <c r="D99" s="43" t="s">
        <v>230</v>
      </c>
      <c r="E99" s="11" t="s">
        <v>11</v>
      </c>
      <c r="F99" s="109">
        <f>SUM(Women[[#This Row],[PR 1]:[PR 3]])</f>
        <v>0</v>
      </c>
      <c r="G99" s="109">
        <f>LARGE(Women[[#This Row],[TS SH O 22.02.22]:[PR3]],1)</f>
        <v>0</v>
      </c>
      <c r="H99" s="109">
        <f>LARGE(Women[[#This Row],[TS SH O 22.02.22]:[PR3]],2)</f>
        <v>0</v>
      </c>
      <c r="I99" s="109">
        <f>LARGE(Women[[#This Row],[TS SH O 22.02.22]:[PR3]],3)</f>
        <v>0</v>
      </c>
      <c r="J99" s="11">
        <f>RANK(K99,$K$7:$K$108,0)</f>
        <v>76</v>
      </c>
      <c r="K99" s="109">
        <f>SUM(L99:AA99)</f>
        <v>0</v>
      </c>
      <c r="L99" s="128" t="str">
        <f>IFERROR(VLOOKUP(Women[[#This Row],[TS SH O 22.02.22 Rang]],$AU$15:$AV$72,2,0)*L$5," ")</f>
        <v xml:space="preserve"> </v>
      </c>
      <c r="M99" s="109" t="str">
        <f>IFERROR(VLOOKUP(Women[[#This Row],[TS SH W 22.02.22 Rang]],$AR$15:$AS$72,2,0)*M$5," ")</f>
        <v xml:space="preserve"> </v>
      </c>
      <c r="N99" s="109" t="str">
        <f>IFERROR(VLOOKUP(Women[[#This Row],[TS LU W 12.03.22 Rang]],$AR$15:$AS$72,2,0)*N$5," ")</f>
        <v xml:space="preserve"> </v>
      </c>
      <c r="O99" s="128" t="str">
        <f>IFERROR(VLOOKUP(Women[[#This Row],[TS SH O 23.04.22 Rang]],$AU$15:$AV$72,2,0)*O$5," ")</f>
        <v xml:space="preserve"> </v>
      </c>
      <c r="P99" s="177" t="str">
        <f>IFERROR(VLOOKUP(Women[[#This Row],[TS LA W 08.05.22 Rang]],$AR$15:$AS$72,2,0)*P$5," ")</f>
        <v xml:space="preserve"> </v>
      </c>
      <c r="Q99" s="128" t="str">
        <f>IFERROR(VLOOKUP(Women[[#This Row],[TS SG O 25.05.22 Rang]],$AU$15:$AV$72,2,0)*Q$5," ")</f>
        <v xml:space="preserve"> </v>
      </c>
      <c r="R99" s="177" t="str">
        <f>IFERROR(VLOOKUP(Women[[#This Row],[TS SG W 25.05.22 Rang]],$AR$15:$AS$72,2,0)*R$5," ")</f>
        <v xml:space="preserve"> </v>
      </c>
      <c r="S99" s="128" t="str">
        <f>IFERROR(VLOOKUP(Women[[#This Row],[TS SH O 25.06.22 Rang]],$AU$15:$AV$72,2,0)*$S$5," ")</f>
        <v xml:space="preserve"> </v>
      </c>
      <c r="T99" s="177" t="str">
        <f>IFERROR(VLOOKUP(Women[[#This Row],[TS SH W 25.06.22 Rang]],$AR$15:$AS$72,2,0)*T$5," ")</f>
        <v xml:space="preserve"> </v>
      </c>
      <c r="U99" s="177" t="str">
        <f>IFERROR(VLOOKUP(Women[[#This Row],[TS ZH W 02.07.22 Rang]],$AR$15:$AS$72,2,0)*U$5," ")</f>
        <v xml:space="preserve"> </v>
      </c>
      <c r="V99" s="128" t="str">
        <f>IFERROR(VLOOKUP(Women[[#This Row],[SM BE O/A 09.07.22 Rang]],$AU$15:$AV$72,2,0)*V97," ")</f>
        <v xml:space="preserve"> </v>
      </c>
      <c r="W99" s="128" t="str">
        <f>IFERROR(VLOOKUP(Women[[#This Row],[SM BE O/B 09.07.22 Rang]],$AU$15:$AV$72,2,0)*$W$5," ")</f>
        <v xml:space="preserve"> </v>
      </c>
      <c r="X99" s="177" t="str">
        <f>IFERROR(VLOOKUP(Women[[#This Row],[SM BE W 09.07.22 Rang]],$AR$15:$AS$72,2,0)*X$5," ")</f>
        <v xml:space="preserve"> </v>
      </c>
      <c r="Y99" s="11">
        <v>0</v>
      </c>
      <c r="Z99" s="11">
        <v>0</v>
      </c>
      <c r="AA99" s="11">
        <v>0</v>
      </c>
      <c r="AB99" s="131"/>
      <c r="AC99" s="129"/>
      <c r="AD99" s="129"/>
      <c r="AE99" s="131"/>
      <c r="AF99" s="129"/>
      <c r="AG99" s="131"/>
      <c r="AH99" s="129"/>
      <c r="AI99" s="131"/>
      <c r="AJ99" s="129"/>
      <c r="AK99" s="129"/>
      <c r="AL99" s="131"/>
      <c r="AM99" s="131"/>
      <c r="AN99" s="129"/>
    </row>
    <row r="100" spans="1:40" x14ac:dyDescent="0.2">
      <c r="A100" s="112">
        <v>71</v>
      </c>
      <c r="B100" s="17">
        <f>IF(Women[[#This Row],[PR Rang beim letzten Turnier]]&gt;Women[[#This Row],[PR Rang]],1,IF(Women[[#This Row],[PR Rang]]=Women[[#This Row],[PR Rang beim letzten Turnier]],0,-1))</f>
        <v>-1</v>
      </c>
      <c r="C100" s="112">
        <f>RANK(Women[[#This Row],[PR Punkte]],Women[PR Punkte],0)</f>
        <v>76</v>
      </c>
      <c r="D100" s="11" t="s">
        <v>205</v>
      </c>
      <c r="E100" s="9" t="s">
        <v>11</v>
      </c>
      <c r="F100" s="109">
        <f>SUM(Women[[#This Row],[PR 1]:[PR 3]])</f>
        <v>0</v>
      </c>
      <c r="G100" s="109">
        <f>LARGE(Women[[#This Row],[TS SH O 22.02.22]:[PR3]],1)</f>
        <v>0</v>
      </c>
      <c r="H100" s="109">
        <f>LARGE(Women[[#This Row],[TS SH O 22.02.22]:[PR3]],2)</f>
        <v>0</v>
      </c>
      <c r="I100" s="109">
        <f>LARGE(Women[[#This Row],[TS SH O 22.02.22]:[PR3]],3)</f>
        <v>0</v>
      </c>
      <c r="J100" s="9">
        <f>RANK(K100,$K$7:$K$108,0)</f>
        <v>76</v>
      </c>
      <c r="K100" s="109">
        <f>SUM(L100:AA100)</f>
        <v>0</v>
      </c>
      <c r="L100" s="128" t="str">
        <f>IFERROR(VLOOKUP(Women[[#This Row],[TS SH O 22.02.22 Rang]],$AU$15:$AV$72,2,0)*L$5," ")</f>
        <v xml:space="preserve"> </v>
      </c>
      <c r="M100" s="109" t="str">
        <f>IFERROR(VLOOKUP(Women[[#This Row],[TS SH W 22.02.22 Rang]],$AR$15:$AS$72,2,0)*M$5," ")</f>
        <v xml:space="preserve"> </v>
      </c>
      <c r="N100" s="109" t="str">
        <f>IFERROR(VLOOKUP(Women[[#This Row],[TS LU W 12.03.22 Rang]],$AR$15:$AS$72,2,0)*N$5," ")</f>
        <v xml:space="preserve"> </v>
      </c>
      <c r="O100" s="128" t="str">
        <f>IFERROR(VLOOKUP(Women[[#This Row],[TS SH O 23.04.22 Rang]],$AU$15:$AV$72,2,0)*O$5," ")</f>
        <v xml:space="preserve"> </v>
      </c>
      <c r="P100" s="177" t="str">
        <f>IFERROR(VLOOKUP(Women[[#This Row],[TS LA W 08.05.22 Rang]],$AR$15:$AS$72,2,0)*P$5," ")</f>
        <v xml:space="preserve"> </v>
      </c>
      <c r="Q100" s="128" t="str">
        <f>IFERROR(VLOOKUP(Women[[#This Row],[TS SG O 25.05.22 Rang]],$AU$15:$AV$72,2,0)*Q$5," ")</f>
        <v xml:space="preserve"> </v>
      </c>
      <c r="R100" s="177" t="str">
        <f>IFERROR(VLOOKUP(Women[[#This Row],[TS SG W 25.05.22 Rang]],$AR$15:$AS$72,2,0)*R$5," ")</f>
        <v xml:space="preserve"> </v>
      </c>
      <c r="S100" s="128" t="str">
        <f>IFERROR(VLOOKUP(Women[[#This Row],[TS SH O 25.06.22 Rang]],$AU$15:$AV$72,2,0)*$S$5," ")</f>
        <v xml:space="preserve"> </v>
      </c>
      <c r="T100" s="177" t="str">
        <f>IFERROR(VLOOKUP(Women[[#This Row],[TS SH W 25.06.22 Rang]],$AR$15:$AS$72,2,0)*T$5," ")</f>
        <v xml:space="preserve"> </v>
      </c>
      <c r="U100" s="177" t="str">
        <f>IFERROR(VLOOKUP(Women[[#This Row],[TS ZH W 02.07.22 Rang]],$AR$15:$AS$72,2,0)*U$5," ")</f>
        <v xml:space="preserve"> </v>
      </c>
      <c r="V100" s="128" t="str">
        <f>IFERROR(VLOOKUP(Women[[#This Row],[SM BE O/A 09.07.22 Rang]],$AU$15:$AV$72,2,0)*V98," ")</f>
        <v xml:space="preserve"> </v>
      </c>
      <c r="W100" s="128" t="str">
        <f>IFERROR(VLOOKUP(Women[[#This Row],[SM BE O/B 09.07.22 Rang]],$AU$15:$AV$72,2,0)*$W$5," ")</f>
        <v xml:space="preserve"> </v>
      </c>
      <c r="X100" s="177" t="str">
        <f>IFERROR(VLOOKUP(Women[[#This Row],[SM BE W 09.07.22 Rang]],$AR$15:$AS$72,2,0)*X$5," ")</f>
        <v xml:space="preserve"> </v>
      </c>
      <c r="Y100" s="11">
        <v>0</v>
      </c>
      <c r="Z100" s="11">
        <v>0</v>
      </c>
      <c r="AA100" s="11">
        <v>0</v>
      </c>
      <c r="AB100" s="131"/>
      <c r="AC100" s="129"/>
      <c r="AD100" s="129"/>
      <c r="AE100" s="131"/>
      <c r="AF100" s="129"/>
      <c r="AG100" s="131"/>
      <c r="AH100" s="129"/>
      <c r="AI100" s="131"/>
      <c r="AJ100" s="129"/>
      <c r="AK100" s="129"/>
      <c r="AL100" s="131"/>
      <c r="AM100" s="131"/>
      <c r="AN100" s="129"/>
    </row>
    <row r="101" spans="1:40" x14ac:dyDescent="0.2">
      <c r="A101" s="112">
        <v>71</v>
      </c>
      <c r="B101" s="17">
        <f>IF(Women[[#This Row],[PR Rang beim letzten Turnier]]&gt;Women[[#This Row],[PR Rang]],1,IF(Women[[#This Row],[PR Rang]]=Women[[#This Row],[PR Rang beim letzten Turnier]],0,-1))</f>
        <v>-1</v>
      </c>
      <c r="C101" s="112">
        <f>RANK(Women[[#This Row],[PR Punkte]],Women[PR Punkte],0)</f>
        <v>76</v>
      </c>
      <c r="D101" s="11" t="s">
        <v>203</v>
      </c>
      <c r="E101" s="9" t="s">
        <v>13</v>
      </c>
      <c r="F101" s="109">
        <f>SUM(Women[[#This Row],[PR 1]:[PR 3]])</f>
        <v>0</v>
      </c>
      <c r="G101" s="109">
        <f>LARGE(Women[[#This Row],[TS SH O 22.02.22]:[PR3]],1)</f>
        <v>0</v>
      </c>
      <c r="H101" s="109">
        <f>LARGE(Women[[#This Row],[TS SH O 22.02.22]:[PR3]],2)</f>
        <v>0</v>
      </c>
      <c r="I101" s="109">
        <f>LARGE(Women[[#This Row],[TS SH O 22.02.22]:[PR3]],3)</f>
        <v>0</v>
      </c>
      <c r="J101" s="9">
        <f>RANK(K101,$K$7:$K$108,0)</f>
        <v>76</v>
      </c>
      <c r="K101" s="109">
        <f>SUM(L101:AA101)</f>
        <v>0</v>
      </c>
      <c r="L101" s="128" t="str">
        <f>IFERROR(VLOOKUP(Women[[#This Row],[TS SH O 22.02.22 Rang]],$AU$15:$AV$72,2,0)*L$5," ")</f>
        <v xml:space="preserve"> </v>
      </c>
      <c r="M101" s="109" t="str">
        <f>IFERROR(VLOOKUP(Women[[#This Row],[TS SH W 22.02.22 Rang]],$AR$15:$AS$72,2,0)*M$5," ")</f>
        <v xml:space="preserve"> </v>
      </c>
      <c r="N101" s="109" t="str">
        <f>IFERROR(VLOOKUP(Women[[#This Row],[TS LU W 12.03.22 Rang]],$AR$15:$AS$72,2,0)*N$5," ")</f>
        <v xml:space="preserve"> </v>
      </c>
      <c r="O101" s="128" t="str">
        <f>IFERROR(VLOOKUP(Women[[#This Row],[TS SH O 23.04.22 Rang]],$AU$15:$AV$72,2,0)*O$5," ")</f>
        <v xml:space="preserve"> </v>
      </c>
      <c r="P101" s="177" t="str">
        <f>IFERROR(VLOOKUP(Women[[#This Row],[TS LA W 08.05.22 Rang]],$AR$15:$AS$72,2,0)*P$5," ")</f>
        <v xml:space="preserve"> </v>
      </c>
      <c r="Q101" s="128" t="str">
        <f>IFERROR(VLOOKUP(Women[[#This Row],[TS SG O 25.05.22 Rang]],$AU$15:$AV$72,2,0)*Q$5," ")</f>
        <v xml:space="preserve"> </v>
      </c>
      <c r="R101" s="177" t="str">
        <f>IFERROR(VLOOKUP(Women[[#This Row],[TS SG W 25.05.22 Rang]],$AR$15:$AS$72,2,0)*R$5," ")</f>
        <v xml:space="preserve"> </v>
      </c>
      <c r="S101" s="128" t="str">
        <f>IFERROR(VLOOKUP(Women[[#This Row],[TS SH O 25.06.22 Rang]],$AU$15:$AV$72,2,0)*$S$5," ")</f>
        <v xml:space="preserve"> </v>
      </c>
      <c r="T101" s="177" t="str">
        <f>IFERROR(VLOOKUP(Women[[#This Row],[TS SH W 25.06.22 Rang]],$AR$15:$AS$72,2,0)*T$5," ")</f>
        <v xml:space="preserve"> </v>
      </c>
      <c r="U101" s="177" t="str">
        <f>IFERROR(VLOOKUP(Women[[#This Row],[TS ZH W 02.07.22 Rang]],$AR$15:$AS$72,2,0)*U$5," ")</f>
        <v xml:space="preserve"> </v>
      </c>
      <c r="V101" s="128" t="str">
        <f>IFERROR(VLOOKUP(Women[[#This Row],[SM BE O/A 09.07.22 Rang]],$AU$15:$AV$72,2,0)*V99," ")</f>
        <v xml:space="preserve"> </v>
      </c>
      <c r="W101" s="128" t="str">
        <f>IFERROR(VLOOKUP(Women[[#This Row],[SM BE O/B 09.07.22 Rang]],$AU$15:$AV$72,2,0)*$W$5," ")</f>
        <v xml:space="preserve"> </v>
      </c>
      <c r="X101" s="177" t="str">
        <f>IFERROR(VLOOKUP(Women[[#This Row],[SM BE W 09.07.22 Rang]],$AR$15:$AS$72,2,0)*X$5," ")</f>
        <v xml:space="preserve"> </v>
      </c>
      <c r="Y101" s="11">
        <v>0</v>
      </c>
      <c r="Z101" s="11">
        <v>0</v>
      </c>
      <c r="AA101" s="11">
        <v>0</v>
      </c>
      <c r="AB101" s="131"/>
      <c r="AC101" s="129"/>
      <c r="AD101" s="129"/>
      <c r="AE101" s="131"/>
      <c r="AF101" s="129"/>
      <c r="AG101" s="131"/>
      <c r="AH101" s="129"/>
      <c r="AI101" s="131"/>
      <c r="AJ101" s="129"/>
      <c r="AK101" s="129"/>
      <c r="AL101" s="131"/>
      <c r="AM101" s="131"/>
      <c r="AN101" s="129"/>
    </row>
    <row r="102" spans="1:40" x14ac:dyDescent="0.2">
      <c r="A102" s="112">
        <v>71</v>
      </c>
      <c r="B102" s="17">
        <f>IF(Women[[#This Row],[PR Rang beim letzten Turnier]]&gt;Women[[#This Row],[PR Rang]],1,IF(Women[[#This Row],[PR Rang]]=Women[[#This Row],[PR Rang beim letzten Turnier]],0,-1))</f>
        <v>-1</v>
      </c>
      <c r="C102" s="112">
        <f>RANK(Women[[#This Row],[PR Punkte]],Women[PR Punkte],0)</f>
        <v>76</v>
      </c>
      <c r="D102" s="11" t="s">
        <v>204</v>
      </c>
      <c r="E102" s="9" t="s">
        <v>13</v>
      </c>
      <c r="F102" s="109">
        <f>SUM(Women[[#This Row],[PR 1]:[PR 3]])</f>
        <v>0</v>
      </c>
      <c r="G102" s="109">
        <f>LARGE(Women[[#This Row],[TS SH O 22.02.22]:[PR3]],1)</f>
        <v>0</v>
      </c>
      <c r="H102" s="109">
        <f>LARGE(Women[[#This Row],[TS SH O 22.02.22]:[PR3]],2)</f>
        <v>0</v>
      </c>
      <c r="I102" s="109">
        <f>LARGE(Women[[#This Row],[TS SH O 22.02.22]:[PR3]],3)</f>
        <v>0</v>
      </c>
      <c r="J102" s="9">
        <f>RANK(K102,$K$7:$K$108,0)</f>
        <v>76</v>
      </c>
      <c r="K102" s="109">
        <f>SUM(L102:AA102)</f>
        <v>0</v>
      </c>
      <c r="L102" s="128" t="str">
        <f>IFERROR(VLOOKUP(Women[[#This Row],[TS SH O 22.02.22 Rang]],$AU$15:$AV$72,2,0)*L$5," ")</f>
        <v xml:space="preserve"> </v>
      </c>
      <c r="M102" s="109" t="str">
        <f>IFERROR(VLOOKUP(Women[[#This Row],[TS SH W 22.02.22 Rang]],$AR$15:$AS$72,2,0)*M$5," ")</f>
        <v xml:space="preserve"> </v>
      </c>
      <c r="N102" s="109" t="str">
        <f>IFERROR(VLOOKUP(Women[[#This Row],[TS LU W 12.03.22 Rang]],$AR$15:$AS$72,2,0)*N$5," ")</f>
        <v xml:space="preserve"> </v>
      </c>
      <c r="O102" s="128" t="str">
        <f>IFERROR(VLOOKUP(Women[[#This Row],[TS SH O 23.04.22 Rang]],$AU$15:$AV$72,2,0)*O$5," ")</f>
        <v xml:space="preserve"> </v>
      </c>
      <c r="P102" s="177" t="str">
        <f>IFERROR(VLOOKUP(Women[[#This Row],[TS LA W 08.05.22 Rang]],$AR$15:$AS$72,2,0)*P$5," ")</f>
        <v xml:space="preserve"> </v>
      </c>
      <c r="Q102" s="128" t="str">
        <f>IFERROR(VLOOKUP(Women[[#This Row],[TS SG O 25.05.22 Rang]],$AU$15:$AV$72,2,0)*Q$5," ")</f>
        <v xml:space="preserve"> </v>
      </c>
      <c r="R102" s="177" t="str">
        <f>IFERROR(VLOOKUP(Women[[#This Row],[TS SG W 25.05.22 Rang]],$AR$15:$AS$72,2,0)*R$5," ")</f>
        <v xml:space="preserve"> </v>
      </c>
      <c r="S102" s="128" t="str">
        <f>IFERROR(VLOOKUP(Women[[#This Row],[TS SH O 25.06.22 Rang]],$AU$15:$AV$72,2,0)*$S$5," ")</f>
        <v xml:space="preserve"> </v>
      </c>
      <c r="T102" s="177" t="str">
        <f>IFERROR(VLOOKUP(Women[[#This Row],[TS SH W 25.06.22 Rang]],$AR$15:$AS$72,2,0)*T$5," ")</f>
        <v xml:space="preserve"> </v>
      </c>
      <c r="U102" s="177" t="str">
        <f>IFERROR(VLOOKUP(Women[[#This Row],[TS ZH W 02.07.22 Rang]],$AR$15:$AS$72,2,0)*U$5," ")</f>
        <v xml:space="preserve"> </v>
      </c>
      <c r="V102" s="128" t="str">
        <f>IFERROR(VLOOKUP(Women[[#This Row],[SM BE O/A 09.07.22 Rang]],$AU$15:$AV$72,2,0)*V100," ")</f>
        <v xml:space="preserve"> </v>
      </c>
      <c r="W102" s="128" t="str">
        <f>IFERROR(VLOOKUP(Women[[#This Row],[SM BE O/B 09.07.22 Rang]],$AU$15:$AV$72,2,0)*$W$5," ")</f>
        <v xml:space="preserve"> </v>
      </c>
      <c r="X102" s="177" t="str">
        <f>IFERROR(VLOOKUP(Women[[#This Row],[SM BE W 09.07.22 Rang]],$AR$15:$AS$72,2,0)*X$5," ")</f>
        <v xml:space="preserve"> </v>
      </c>
      <c r="Y102" s="11">
        <v>0</v>
      </c>
      <c r="Z102" s="11">
        <v>0</v>
      </c>
      <c r="AA102" s="11">
        <v>0</v>
      </c>
      <c r="AB102" s="131"/>
      <c r="AC102" s="129"/>
      <c r="AD102" s="129"/>
      <c r="AE102" s="131"/>
      <c r="AF102" s="129"/>
      <c r="AG102" s="131"/>
      <c r="AH102" s="129"/>
      <c r="AI102" s="131"/>
      <c r="AJ102" s="129"/>
      <c r="AK102" s="129"/>
      <c r="AL102" s="131"/>
      <c r="AM102" s="131"/>
      <c r="AN102" s="129"/>
    </row>
    <row r="103" spans="1:40" x14ac:dyDescent="0.2">
      <c r="A103" s="112">
        <v>80</v>
      </c>
      <c r="B103" s="17">
        <f>IF(Women[[#This Row],[PR Rang beim letzten Turnier]]&gt;Women[[#This Row],[PR Rang]],1,IF(Women[[#This Row],[PR Rang]]=Women[[#This Row],[PR Rang beim letzten Turnier]],0,-1))</f>
        <v>1</v>
      </c>
      <c r="C103" s="112">
        <f>RANK(Women[[#This Row],[PR Punkte]],Women[PR Punkte],0)</f>
        <v>76</v>
      </c>
      <c r="D103" s="13" t="s">
        <v>125</v>
      </c>
      <c r="E103" s="11" t="s">
        <v>17</v>
      </c>
      <c r="F103" s="109">
        <f>SUM(Women[[#This Row],[PR 1]:[PR 3]])</f>
        <v>0</v>
      </c>
      <c r="G103" s="109">
        <f>LARGE(Women[[#This Row],[TS SH O 22.02.22]:[PR3]],1)</f>
        <v>0</v>
      </c>
      <c r="H103" s="109">
        <f>LARGE(Women[[#This Row],[TS SH O 22.02.22]:[PR3]],2)</f>
        <v>0</v>
      </c>
      <c r="I103" s="109">
        <f>LARGE(Women[[#This Row],[TS SH O 22.02.22]:[PR3]],3)</f>
        <v>0</v>
      </c>
      <c r="J103" s="11">
        <f>RANK(K103,$K$7:$K$108,0)</f>
        <v>76</v>
      </c>
      <c r="K103" s="109">
        <f>SUM(L103:AA103)</f>
        <v>0</v>
      </c>
      <c r="L103" s="128" t="str">
        <f>IFERROR(VLOOKUP(Women[[#This Row],[TS SH O 22.02.22 Rang]],$AU$15:$AV$72,2,0)*L$5," ")</f>
        <v xml:space="preserve"> </v>
      </c>
      <c r="M103" s="109" t="str">
        <f>IFERROR(VLOOKUP(Women[[#This Row],[TS SH W 22.02.22 Rang]],$AR$15:$AS$72,2,0)*M$5," ")</f>
        <v xml:space="preserve"> </v>
      </c>
      <c r="N103" s="109" t="str">
        <f>IFERROR(VLOOKUP(Women[[#This Row],[TS LU W 12.03.22 Rang]],$AR$15:$AS$72,2,0)*N$5," ")</f>
        <v xml:space="preserve"> </v>
      </c>
      <c r="O103" s="128" t="str">
        <f>IFERROR(VLOOKUP(Women[[#This Row],[TS SH O 23.04.22 Rang]],$AU$15:$AV$72,2,0)*O$5," ")</f>
        <v xml:space="preserve"> </v>
      </c>
      <c r="P103" s="177" t="str">
        <f>IFERROR(VLOOKUP(Women[[#This Row],[TS LA W 08.05.22 Rang]],$AR$15:$AS$72,2,0)*P$5," ")</f>
        <v xml:space="preserve"> </v>
      </c>
      <c r="Q103" s="128" t="str">
        <f>IFERROR(VLOOKUP(Women[[#This Row],[TS SG O 25.05.22 Rang]],$AU$15:$AV$72,2,0)*Q$5," ")</f>
        <v xml:space="preserve"> </v>
      </c>
      <c r="R103" s="177" t="str">
        <f>IFERROR(VLOOKUP(Women[[#This Row],[TS SG W 25.05.22 Rang]],$AR$15:$AS$72,2,0)*R$5," ")</f>
        <v xml:space="preserve"> </v>
      </c>
      <c r="S103" s="128" t="str">
        <f>IFERROR(VLOOKUP(Women[[#This Row],[TS SH O 25.06.22 Rang]],$AU$15:$AV$72,2,0)*$S$5," ")</f>
        <v xml:space="preserve"> </v>
      </c>
      <c r="T103" s="177" t="str">
        <f>IFERROR(VLOOKUP(Women[[#This Row],[TS SH W 25.06.22 Rang]],$AR$15:$AS$72,2,0)*T$5," ")</f>
        <v xml:space="preserve"> </v>
      </c>
      <c r="U103" s="177" t="str">
        <f>IFERROR(VLOOKUP(Women[[#This Row],[TS ZH W 02.07.22 Rang]],$AR$15:$AS$72,2,0)*U$5," ")</f>
        <v xml:space="preserve"> </v>
      </c>
      <c r="V103" s="128" t="str">
        <f>IFERROR(VLOOKUP(Women[[#This Row],[SM BE O/A 09.07.22 Rang]],$AU$15:$AV$72,2,0)*V101," ")</f>
        <v xml:space="preserve"> </v>
      </c>
      <c r="W103" s="128" t="str">
        <f>IFERROR(VLOOKUP(Women[[#This Row],[SM BE O/B 09.07.22 Rang]],$AU$15:$AV$72,2,0)*$W$5," ")</f>
        <v xml:space="preserve"> </v>
      </c>
      <c r="X103" s="177" t="str">
        <f>IFERROR(VLOOKUP(Women[[#This Row],[SM BE W 09.07.22 Rang]],$AR$15:$AS$72,2,0)*X$5," ")</f>
        <v xml:space="preserve"> </v>
      </c>
      <c r="Y103" s="11">
        <v>0</v>
      </c>
      <c r="Z103" s="11">
        <v>0</v>
      </c>
      <c r="AA103" s="11">
        <v>0</v>
      </c>
      <c r="AB103" s="131"/>
      <c r="AC103" s="129"/>
      <c r="AD103" s="129"/>
      <c r="AE103" s="131"/>
      <c r="AF103" s="129"/>
      <c r="AG103" s="131"/>
      <c r="AH103" s="129"/>
      <c r="AI103" s="131"/>
      <c r="AJ103" s="129"/>
      <c r="AK103" s="129"/>
      <c r="AL103" s="131"/>
      <c r="AM103" s="131"/>
      <c r="AN103" s="129"/>
    </row>
    <row r="104" spans="1:40" x14ac:dyDescent="0.2">
      <c r="A104" s="112">
        <v>80</v>
      </c>
      <c r="B104" s="17">
        <f>IF(Women[[#This Row],[PR Rang beim letzten Turnier]]&gt;Women[[#This Row],[PR Rang]],1,IF(Women[[#This Row],[PR Rang]]=Women[[#This Row],[PR Rang beim letzten Turnier]],0,-1))</f>
        <v>1</v>
      </c>
      <c r="C104" s="112">
        <f>RANK(Women[[#This Row],[PR Punkte]],Women[PR Punkte],0)</f>
        <v>76</v>
      </c>
      <c r="D104" s="13" t="s">
        <v>358</v>
      </c>
      <c r="E104" s="13" t="s">
        <v>0</v>
      </c>
      <c r="F104" s="109">
        <f>SUM(Women[[#This Row],[PR 1]:[PR 3]])</f>
        <v>0</v>
      </c>
      <c r="G104" s="109">
        <f>LARGE(Women[[#This Row],[TS SH O 22.02.22]:[PR3]],1)</f>
        <v>0</v>
      </c>
      <c r="H104" s="109">
        <f>LARGE(Women[[#This Row],[TS SH O 22.02.22]:[PR3]],2)</f>
        <v>0</v>
      </c>
      <c r="I104" s="109">
        <f>LARGE(Women[[#This Row],[TS SH O 22.02.22]:[PR3]],3)</f>
        <v>0</v>
      </c>
      <c r="J104" s="11">
        <f>RANK(K104,$K$7:$K$108,0)</f>
        <v>76</v>
      </c>
      <c r="K104" s="109">
        <f>SUM(L104:AA104)</f>
        <v>0</v>
      </c>
      <c r="L104" s="128" t="str">
        <f>IFERROR(VLOOKUP(Women[[#This Row],[TS SH O 22.02.22 Rang]],$AU$15:$AV$72,2,0)*L$5," ")</f>
        <v xml:space="preserve"> </v>
      </c>
      <c r="M104" s="109" t="str">
        <f>IFERROR(VLOOKUP(Women[[#This Row],[TS SH W 22.02.22 Rang]],$AR$15:$AS$72,2,0)*M$5," ")</f>
        <v xml:space="preserve"> </v>
      </c>
      <c r="N104" s="109" t="str">
        <f>IFERROR(VLOOKUP(Women[[#This Row],[TS LU W 12.03.22 Rang]],$AR$15:$AS$72,2,0)*N$5," ")</f>
        <v xml:space="preserve"> </v>
      </c>
      <c r="O104" s="128" t="str">
        <f>IFERROR(VLOOKUP(Women[[#This Row],[TS SH O 23.04.22 Rang]],$AU$15:$AV$72,2,0)*O$5," ")</f>
        <v xml:space="preserve"> </v>
      </c>
      <c r="P104" s="177" t="str">
        <f>IFERROR(VLOOKUP(Women[[#This Row],[TS LA W 08.05.22 Rang]],$AR$15:$AS$72,2,0)*P$5," ")</f>
        <v xml:space="preserve"> </v>
      </c>
      <c r="Q104" s="128" t="str">
        <f>IFERROR(VLOOKUP(Women[[#This Row],[TS SG O 25.05.22 Rang]],$AU$15:$AV$72,2,0)*Q$5," ")</f>
        <v xml:space="preserve"> </v>
      </c>
      <c r="R104" s="177" t="str">
        <f>IFERROR(VLOOKUP(Women[[#This Row],[TS SG W 25.05.22 Rang]],$AR$15:$AS$72,2,0)*R$5," ")</f>
        <v xml:space="preserve"> </v>
      </c>
      <c r="S104" s="128" t="str">
        <f>IFERROR(VLOOKUP(Women[[#This Row],[TS SH O 25.06.22 Rang]],$AU$15:$AV$72,2,0)*$S$5," ")</f>
        <v xml:space="preserve"> </v>
      </c>
      <c r="T104" s="177" t="str">
        <f>IFERROR(VLOOKUP(Women[[#This Row],[TS SH W 25.06.22 Rang]],$AR$15:$AS$72,2,0)*T$5," ")</f>
        <v xml:space="preserve"> </v>
      </c>
      <c r="U104" s="177" t="str">
        <f>IFERROR(VLOOKUP(Women[[#This Row],[TS ZH W 02.07.22 Rang]],$AR$15:$AS$72,2,0)*U$5," ")</f>
        <v xml:space="preserve"> </v>
      </c>
      <c r="V104" s="128" t="str">
        <f>IFERROR(VLOOKUP(Women[[#This Row],[SM BE O/A 09.07.22 Rang]],$AU$15:$AV$72,2,0)*V102," ")</f>
        <v xml:space="preserve"> </v>
      </c>
      <c r="W104" s="128" t="str">
        <f>IFERROR(VLOOKUP(Women[[#This Row],[SM BE O/B 09.07.22 Rang]],$AU$15:$AV$72,2,0)*$W$5," ")</f>
        <v xml:space="preserve"> </v>
      </c>
      <c r="X104" s="177" t="str">
        <f>IFERROR(VLOOKUP(Women[[#This Row],[SM BE W 09.07.22 Rang]],$AR$15:$AS$72,2,0)*X$5," ")</f>
        <v xml:space="preserve"> </v>
      </c>
      <c r="Y104" s="11">
        <v>0</v>
      </c>
      <c r="Z104" s="11">
        <v>0</v>
      </c>
      <c r="AA104" s="11">
        <v>0</v>
      </c>
      <c r="AB104" s="131"/>
      <c r="AC104" s="129"/>
      <c r="AD104" s="129"/>
      <c r="AE104" s="131"/>
      <c r="AF104" s="129"/>
      <c r="AG104" s="131"/>
      <c r="AH104" s="129"/>
      <c r="AI104" s="131"/>
      <c r="AJ104" s="129"/>
      <c r="AK104" s="129"/>
      <c r="AL104" s="131"/>
      <c r="AM104" s="131"/>
      <c r="AN104" s="129"/>
    </row>
    <row r="105" spans="1:40" x14ac:dyDescent="0.2">
      <c r="A105" s="112">
        <v>80</v>
      </c>
      <c r="B105" s="17">
        <f>IF(Women[[#This Row],[PR Rang beim letzten Turnier]]&gt;Women[[#This Row],[PR Rang]],1,IF(Women[[#This Row],[PR Rang]]=Women[[#This Row],[PR Rang beim letzten Turnier]],0,-1))</f>
        <v>1</v>
      </c>
      <c r="C105" s="112">
        <f>RANK(Women[[#This Row],[PR Punkte]],Women[PR Punkte],0)</f>
        <v>76</v>
      </c>
      <c r="D105" s="13" t="s">
        <v>389</v>
      </c>
      <c r="E105" s="11" t="s">
        <v>0</v>
      </c>
      <c r="F105" s="109">
        <f>SUM(Women[[#This Row],[PR 1]:[PR 3]])</f>
        <v>0</v>
      </c>
      <c r="G105" s="109">
        <f>LARGE(Women[[#This Row],[TS SH O 22.02.22]:[PR3]],1)</f>
        <v>0</v>
      </c>
      <c r="H105" s="109">
        <f>LARGE(Women[[#This Row],[TS SH O 22.02.22]:[PR3]],2)</f>
        <v>0</v>
      </c>
      <c r="I105" s="109">
        <f>LARGE(Women[[#This Row],[TS SH O 22.02.22]:[PR3]],3)</f>
        <v>0</v>
      </c>
      <c r="J105" s="11">
        <f>RANK(K105,$K$7:$K$108,0)</f>
        <v>76</v>
      </c>
      <c r="K105" s="109">
        <f>SUM(L105:AA105)</f>
        <v>0</v>
      </c>
      <c r="L105" s="128" t="str">
        <f>IFERROR(VLOOKUP(Women[[#This Row],[TS SH O 22.02.22 Rang]],$AU$15:$AV$72,2,0)*L$5," ")</f>
        <v xml:space="preserve"> </v>
      </c>
      <c r="M105" s="109" t="str">
        <f>IFERROR(VLOOKUP(Women[[#This Row],[TS SH W 22.02.22 Rang]],$AR$15:$AS$72,2,0)*M$5," ")</f>
        <v xml:space="preserve"> </v>
      </c>
      <c r="N105" s="109" t="str">
        <f>IFERROR(VLOOKUP(Women[[#This Row],[TS LU W 12.03.22 Rang]],$AR$15:$AS$72,2,0)*N$5," ")</f>
        <v xml:space="preserve"> </v>
      </c>
      <c r="O105" s="128" t="str">
        <f>IFERROR(VLOOKUP(Women[[#This Row],[TS SH O 23.04.22 Rang]],$AU$15:$AV$72,2,0)*O$5," ")</f>
        <v xml:space="preserve"> </v>
      </c>
      <c r="P105" s="177" t="str">
        <f>IFERROR(VLOOKUP(Women[[#This Row],[TS LA W 08.05.22 Rang]],$AR$15:$AS$72,2,0)*P$5," ")</f>
        <v xml:space="preserve"> </v>
      </c>
      <c r="Q105" s="128" t="str">
        <f>IFERROR(VLOOKUP(Women[[#This Row],[TS SG O 25.05.22 Rang]],$AU$15:$AV$72,2,0)*Q$5," ")</f>
        <v xml:space="preserve"> </v>
      </c>
      <c r="R105" s="177" t="str">
        <f>IFERROR(VLOOKUP(Women[[#This Row],[TS SG W 25.05.22 Rang]],$AR$15:$AS$72,2,0)*R$5," ")</f>
        <v xml:space="preserve"> </v>
      </c>
      <c r="S105" s="128" t="str">
        <f>IFERROR(VLOOKUP(Women[[#This Row],[TS SH O 25.06.22 Rang]],$AU$15:$AV$72,2,0)*$S$5," ")</f>
        <v xml:space="preserve"> </v>
      </c>
      <c r="T105" s="177" t="str">
        <f>IFERROR(VLOOKUP(Women[[#This Row],[TS SH W 25.06.22 Rang]],$AR$15:$AS$72,2,0)*T$5," ")</f>
        <v xml:space="preserve"> </v>
      </c>
      <c r="U105" s="177" t="str">
        <f>IFERROR(VLOOKUP(Women[[#This Row],[TS ZH W 02.07.22 Rang]],$AR$15:$AS$72,2,0)*U$5," ")</f>
        <v xml:space="preserve"> </v>
      </c>
      <c r="V105" s="128" t="str">
        <f>IFERROR(VLOOKUP(Women[[#This Row],[SM BE O/A 09.07.22 Rang]],$AU$15:$AV$72,2,0)*V103," ")</f>
        <v xml:space="preserve"> </v>
      </c>
      <c r="W105" s="128" t="str">
        <f>IFERROR(VLOOKUP(Women[[#This Row],[SM BE O/B 09.07.22 Rang]],$AU$15:$AV$72,2,0)*$W$5," ")</f>
        <v xml:space="preserve"> </v>
      </c>
      <c r="X105" s="177" t="str">
        <f>IFERROR(VLOOKUP(Women[[#This Row],[SM BE W 09.07.22 Rang]],$AR$15:$AS$72,2,0)*X$5," ")</f>
        <v xml:space="preserve"> </v>
      </c>
      <c r="Y105" s="11">
        <v>0</v>
      </c>
      <c r="Z105" s="11">
        <v>0</v>
      </c>
      <c r="AA105" s="11">
        <v>0</v>
      </c>
      <c r="AB105" s="131"/>
      <c r="AC105" s="129"/>
      <c r="AD105" s="129"/>
      <c r="AE105" s="131"/>
      <c r="AF105" s="129"/>
      <c r="AG105" s="131"/>
      <c r="AH105" s="129"/>
      <c r="AI105" s="131"/>
      <c r="AJ105" s="129"/>
      <c r="AK105" s="129"/>
      <c r="AL105" s="131"/>
      <c r="AM105" s="131"/>
      <c r="AN105" s="129"/>
    </row>
    <row r="106" spans="1:40" x14ac:dyDescent="0.2">
      <c r="A106" s="112">
        <v>80</v>
      </c>
      <c r="B106" s="17">
        <f>IF(Women[[#This Row],[PR Rang beim letzten Turnier]]&gt;Women[[#This Row],[PR Rang]],1,IF(Women[[#This Row],[PR Rang]]=Women[[#This Row],[PR Rang beim letzten Turnier]],0,-1))</f>
        <v>1</v>
      </c>
      <c r="C106" s="112">
        <f>RANK(Women[[#This Row],[PR Punkte]],Women[PR Punkte],0)</f>
        <v>76</v>
      </c>
      <c r="D106" s="9" t="s">
        <v>365</v>
      </c>
      <c r="E106" s="11" t="s">
        <v>0</v>
      </c>
      <c r="F106" s="109">
        <f>SUM(Women[[#This Row],[PR 1]:[PR 3]])</f>
        <v>0</v>
      </c>
      <c r="G106" s="109">
        <f>LARGE(Women[[#This Row],[TS SH O 22.02.22]:[PR3]],1)</f>
        <v>0</v>
      </c>
      <c r="H106" s="109">
        <f>LARGE(Women[[#This Row],[TS SH O 22.02.22]:[PR3]],2)</f>
        <v>0</v>
      </c>
      <c r="I106" s="109">
        <f>LARGE(Women[[#This Row],[TS SH O 22.02.22]:[PR3]],3)</f>
        <v>0</v>
      </c>
      <c r="J106" s="11">
        <f>RANK(K106,$K$7:$K$108,0)</f>
        <v>76</v>
      </c>
      <c r="K106" s="109">
        <f>SUM(L106:AA106)</f>
        <v>0</v>
      </c>
      <c r="L106" s="128" t="str">
        <f>IFERROR(VLOOKUP(Women[[#This Row],[TS SH O 22.02.22 Rang]],$AU$15:$AV$72,2,0)*L$5," ")</f>
        <v xml:space="preserve"> </v>
      </c>
      <c r="M106" s="109" t="str">
        <f>IFERROR(VLOOKUP(Women[[#This Row],[TS SH W 22.02.22 Rang]],$AR$15:$AS$72,2,0)*M$5," ")</f>
        <v xml:space="preserve"> </v>
      </c>
      <c r="N106" s="109" t="str">
        <f>IFERROR(VLOOKUP(Women[[#This Row],[TS LU W 12.03.22 Rang]],$AR$15:$AS$72,2,0)*N$5," ")</f>
        <v xml:space="preserve"> </v>
      </c>
      <c r="O106" s="128" t="str">
        <f>IFERROR(VLOOKUP(Women[[#This Row],[TS SH O 23.04.22 Rang]],$AU$15:$AV$72,2,0)*O$5," ")</f>
        <v xml:space="preserve"> </v>
      </c>
      <c r="P106" s="177" t="str">
        <f>IFERROR(VLOOKUP(Women[[#This Row],[TS LA W 08.05.22 Rang]],$AR$15:$AS$72,2,0)*P$5," ")</f>
        <v xml:space="preserve"> </v>
      </c>
      <c r="Q106" s="128" t="str">
        <f>IFERROR(VLOOKUP(Women[[#This Row],[TS SG O 25.05.22 Rang]],$AU$15:$AV$72,2,0)*Q$5," ")</f>
        <v xml:space="preserve"> </v>
      </c>
      <c r="R106" s="177" t="str">
        <f>IFERROR(VLOOKUP(Women[[#This Row],[TS SG W 25.05.22 Rang]],$AR$15:$AS$72,2,0)*R$5," ")</f>
        <v xml:space="preserve"> </v>
      </c>
      <c r="S106" s="128" t="str">
        <f>IFERROR(VLOOKUP(Women[[#This Row],[TS SH O 25.06.22 Rang]],$AU$15:$AV$72,2,0)*$S$5," ")</f>
        <v xml:space="preserve"> </v>
      </c>
      <c r="T106" s="177" t="str">
        <f>IFERROR(VLOOKUP(Women[[#This Row],[TS SH W 25.06.22 Rang]],$AR$15:$AS$72,2,0)*T$5," ")</f>
        <v xml:space="preserve"> </v>
      </c>
      <c r="U106" s="177" t="str">
        <f>IFERROR(VLOOKUP(Women[[#This Row],[TS ZH W 02.07.22 Rang]],$AR$15:$AS$72,2,0)*U$5," ")</f>
        <v xml:space="preserve"> </v>
      </c>
      <c r="V106" s="128" t="str">
        <f>IFERROR(VLOOKUP(Women[[#This Row],[SM BE O/A 09.07.22 Rang]],$AU$15:$AV$72,2,0)*V104," ")</f>
        <v xml:space="preserve"> </v>
      </c>
      <c r="W106" s="128" t="str">
        <f>IFERROR(VLOOKUP(Women[[#This Row],[SM BE O/B 09.07.22 Rang]],$AU$15:$AV$72,2,0)*$W$5," ")</f>
        <v xml:space="preserve"> </v>
      </c>
      <c r="X106" s="177" t="str">
        <f>IFERROR(VLOOKUP(Women[[#This Row],[SM BE W 09.07.22 Rang]],$AR$15:$AS$72,2,0)*X$5," ")</f>
        <v xml:space="preserve"> </v>
      </c>
      <c r="Y106" s="11">
        <v>0</v>
      </c>
      <c r="Z106" s="11">
        <v>0</v>
      </c>
      <c r="AA106" s="11">
        <v>0</v>
      </c>
      <c r="AB106" s="131"/>
      <c r="AC106" s="129"/>
      <c r="AD106" s="129"/>
      <c r="AE106" s="131"/>
      <c r="AF106" s="129"/>
      <c r="AG106" s="131"/>
      <c r="AH106" s="129"/>
      <c r="AI106" s="131"/>
      <c r="AJ106" s="129"/>
      <c r="AK106" s="129"/>
      <c r="AL106" s="131"/>
      <c r="AM106" s="131"/>
      <c r="AN106" s="129"/>
    </row>
    <row r="107" spans="1:40" x14ac:dyDescent="0.2">
      <c r="A107" s="112">
        <v>90</v>
      </c>
      <c r="B107" s="17">
        <f>IF(Women[[#This Row],[PR Rang beim letzten Turnier]]&gt;Women[[#This Row],[PR Rang]],1,IF(Women[[#This Row],[PR Rang]]=Women[[#This Row],[PR Rang beim letzten Turnier]],0,-1))</f>
        <v>1</v>
      </c>
      <c r="C107" s="112">
        <f>RANK(Women[[#This Row],[PR Punkte]],Women[PR Punkte],0)</f>
        <v>76</v>
      </c>
      <c r="D107" s="17" t="s">
        <v>157</v>
      </c>
      <c r="E107" s="9" t="s">
        <v>12</v>
      </c>
      <c r="F107" s="177">
        <f>SUM(Women[[#This Row],[PR 1]:[PR 3]])</f>
        <v>0</v>
      </c>
      <c r="G107" s="109">
        <f>LARGE(Women[[#This Row],[TS SH O 22.02.22]:[PR3]],1)</f>
        <v>0</v>
      </c>
      <c r="H107" s="109">
        <f>LARGE(Women[[#This Row],[TS SH O 22.02.22]:[PR3]],2)</f>
        <v>0</v>
      </c>
      <c r="I107" s="109">
        <f>LARGE(Women[[#This Row],[TS SH O 22.02.22]:[PR3]],3)</f>
        <v>0</v>
      </c>
      <c r="J107" s="9">
        <f>RANK(K107,$K$7:$K$108,0)</f>
        <v>76</v>
      </c>
      <c r="K107" s="109">
        <f>SUM(L107:AB107)</f>
        <v>0</v>
      </c>
      <c r="L107" s="128" t="str">
        <f>IFERROR(VLOOKUP(Women[[#This Row],[TS SH O 22.02.22 Rang]],$AU$15:$AV$72,2,0)*L$5," ")</f>
        <v xml:space="preserve"> </v>
      </c>
      <c r="M107" s="109" t="str">
        <f>IFERROR(VLOOKUP(Women[[#This Row],[TS SH W 22.02.22 Rang]],$AR$15:$AS$72,2,0)*M$5," ")</f>
        <v xml:space="preserve"> </v>
      </c>
      <c r="N107" s="109" t="str">
        <f>IFERROR(VLOOKUP(Women[[#This Row],[TS LU W 12.03.22 Rang]],$AR$15:$AS$72,2,0)*N$5," ")</f>
        <v xml:space="preserve"> </v>
      </c>
      <c r="O107" s="128" t="str">
        <f>IFERROR(VLOOKUP(Women[[#This Row],[TS SH O 23.04.22 Rang]],$AU$15:$AV$72,2,0)*O$5," ")</f>
        <v xml:space="preserve"> </v>
      </c>
      <c r="P107" s="177" t="str">
        <f>IFERROR(VLOOKUP(Women[[#This Row],[TS LA W 08.05.22 Rang]],$AR$15:$AS$72,2,0)*P$5," ")</f>
        <v xml:space="preserve"> </v>
      </c>
      <c r="Q107" s="128" t="str">
        <f>IFERROR(VLOOKUP(Women[[#This Row],[TS SG O 25.05.22 Rang]],$AU$15:$AV$72,2,0)*Q$5," ")</f>
        <v xml:space="preserve"> </v>
      </c>
      <c r="R107" s="177" t="str">
        <f>IFERROR(VLOOKUP(Women[[#This Row],[TS SG W 25.05.22 Rang]],$AR$15:$AS$72,2,0)*R$5," ")</f>
        <v xml:space="preserve"> </v>
      </c>
      <c r="S107" s="128" t="str">
        <f>IFERROR(VLOOKUP(Women[[#This Row],[TS SH O 25.06.22 Rang]],$AU$15:$AV$72,2,0)*$S$5," ")</f>
        <v xml:space="preserve"> </v>
      </c>
      <c r="T107" s="177" t="str">
        <f>IFERROR(VLOOKUP(Women[[#This Row],[TS SH W 25.06.22 Rang]],$AR$15:$AS$72,2,0)*T$5," ")</f>
        <v xml:space="preserve"> </v>
      </c>
      <c r="U107" s="177" t="str">
        <f>IFERROR(VLOOKUP(Women[[#This Row],[TS ZH W 02.07.22 Rang]],$AR$15:$AS$72,2,0)*U$5," ")</f>
        <v xml:space="preserve"> </v>
      </c>
      <c r="V107" s="128" t="str">
        <f>IFERROR(VLOOKUP(Women[[#This Row],[SM BE O/A 09.07.22 Rang]],$AU$15:$AV$72,2,0)*V105," ")</f>
        <v xml:space="preserve"> </v>
      </c>
      <c r="W107" s="128" t="str">
        <f>IFERROR(VLOOKUP(Women[[#This Row],[SM BE O/B 09.07.22 Rang]],$AU$15:$AV$72,2,0)*$W$5," ")</f>
        <v xml:space="preserve"> </v>
      </c>
      <c r="X107" s="177"/>
      <c r="Y107" s="11">
        <v>0</v>
      </c>
      <c r="Z107" s="11">
        <v>0</v>
      </c>
      <c r="AA107" s="11">
        <v>0</v>
      </c>
      <c r="AB107" s="131">
        <v>0</v>
      </c>
      <c r="AC107" s="129"/>
      <c r="AD107" s="129"/>
      <c r="AE107" s="131"/>
      <c r="AF107" s="129"/>
      <c r="AG107" s="131"/>
      <c r="AH107" s="129"/>
      <c r="AI107" s="131"/>
      <c r="AJ107" s="191"/>
      <c r="AK107" s="191"/>
      <c r="AL107" s="131"/>
      <c r="AM107" s="131"/>
      <c r="AN107" s="129"/>
    </row>
    <row r="108" spans="1:40" x14ac:dyDescent="0.2">
      <c r="A108" s="225"/>
      <c r="B108" s="198">
        <f>IF(Women[[#This Row],[PR Rang beim letzten Turnier]]&gt;Women[[#This Row],[PR Rang]],1,IF(Women[[#This Row],[PR Rang]]=Women[[#This Row],[PR Rang beim letzten Turnier]],0,-1))</f>
        <v>-1</v>
      </c>
      <c r="C108" s="225">
        <f>RANK(Women[[#This Row],[PR Punkte]],Women[PR Punkte],0)</f>
        <v>75</v>
      </c>
      <c r="D108" s="11" t="s">
        <v>658</v>
      </c>
      <c r="E108" s="11" t="s">
        <v>16</v>
      </c>
      <c r="F108" s="109">
        <f>SUM(Women[[#This Row],[PR 1]:[PR 3]])</f>
        <v>10</v>
      </c>
      <c r="G108" s="109">
        <f>LARGE(Women[[#This Row],[TS SH O 22.02.22]:[PR3]],1)</f>
        <v>10</v>
      </c>
      <c r="H108" s="109">
        <f>LARGE(Women[[#This Row],[TS SH O 22.02.22]:[PR3]],2)</f>
        <v>0</v>
      </c>
      <c r="I108" s="109">
        <f>LARGE(Women[[#This Row],[TS SH O 22.02.22]:[PR3]],3)</f>
        <v>0</v>
      </c>
      <c r="J108" s="86">
        <f>RANK(K108,$K$7:$K$108,0)</f>
        <v>75</v>
      </c>
      <c r="K108" s="86">
        <f>SUM(L108:AA108)</f>
        <v>10</v>
      </c>
      <c r="L108" s="128" t="str">
        <f>IFERROR(VLOOKUP(Women[[#This Row],[TS SH O 22.02.22 Rang]],$AU$15:$AV$72,2,0)*L$5," ")</f>
        <v xml:space="preserve"> </v>
      </c>
      <c r="M108" s="177" t="str">
        <f>IFERROR(VLOOKUP(Women[[#This Row],[TS SH W 22.02.22 Rang]],$AR$15:$AS$72,2,0)*M$5," ")</f>
        <v xml:space="preserve"> </v>
      </c>
      <c r="N108" s="177" t="str">
        <f>IFERROR(VLOOKUP(Women[[#This Row],[TS LU W 12.03.22 Rang]],$AR$15:$AS$72,2,0)*N$5," ")</f>
        <v xml:space="preserve"> </v>
      </c>
      <c r="O108" s="128" t="str">
        <f>IFERROR(VLOOKUP(Women[[#This Row],[TS SH O 23.04.22 Rang]],$AU$15:$AV$72,2,0)*O$5," ")</f>
        <v xml:space="preserve"> </v>
      </c>
      <c r="P108" s="177" t="str">
        <f>IFERROR(VLOOKUP(Women[[#This Row],[TS LA W 08.05.22 Rang]],$AR$15:$AS$72,2,0)*P$5," ")</f>
        <v xml:space="preserve"> </v>
      </c>
      <c r="Q108" s="128" t="str">
        <f>IFERROR(VLOOKUP(Women[[#This Row],[TS SG O 25.05.22 Rang]],$AU$15:$AV$72,2,0)*Q$5," ")</f>
        <v xml:space="preserve"> </v>
      </c>
      <c r="R108" s="177" t="str">
        <f>IFERROR(VLOOKUP(Women[[#This Row],[TS SG W 25.05.22 Rang]],$AR$15:$AS$72,2,0)*R$5," ")</f>
        <v xml:space="preserve"> </v>
      </c>
      <c r="S108" s="128" t="str">
        <f>IFERROR(VLOOKUP(Women[[#This Row],[TS SH O 25.06.22 Rang]],$AU$15:$AV$72,2,0)*$S$5," ")</f>
        <v xml:space="preserve"> </v>
      </c>
      <c r="T108" s="177" t="str">
        <f>IFERROR(VLOOKUP(Women[[#This Row],[TS SH W 25.06.22 Rang]],$AR$15:$AS$72,2,0)*T$5," ")</f>
        <v xml:space="preserve"> </v>
      </c>
      <c r="U108" s="177" t="str">
        <f>IFERROR(VLOOKUP(Women[[#This Row],[TS ZH W 02.07.22 Rang]],$AR$15:$AS$72,2,0)*U$5," ")</f>
        <v xml:space="preserve"> </v>
      </c>
      <c r="V108" s="128" t="str">
        <f>IFERROR(VLOOKUP(Women[[#This Row],[SM BE O/A 09.07.22 Rang]],$AU$15:$AV$72,2,0)*V106," ")</f>
        <v xml:space="preserve"> </v>
      </c>
      <c r="W108" s="128">
        <f>IFERROR(VLOOKUP(Women[[#This Row],[SM BE O/B 09.07.22 Rang]],$AU$15:$AV$72,2,0)*$W$5," ")</f>
        <v>10</v>
      </c>
      <c r="X108" s="177"/>
      <c r="Y108" s="11">
        <v>0</v>
      </c>
      <c r="Z108" s="11">
        <v>0</v>
      </c>
      <c r="AA108" s="11">
        <v>0</v>
      </c>
      <c r="AB108" s="131">
        <v>0</v>
      </c>
      <c r="AC108" s="129"/>
      <c r="AD108" s="129"/>
      <c r="AE108" s="131"/>
      <c r="AF108" s="129"/>
      <c r="AG108" s="131"/>
      <c r="AH108" s="129"/>
      <c r="AI108" s="131"/>
      <c r="AJ108" s="191"/>
      <c r="AK108" s="191"/>
      <c r="AL108" s="131"/>
      <c r="AM108" s="131">
        <v>12</v>
      </c>
      <c r="AN108" s="129"/>
    </row>
  </sheetData>
  <sheetProtection selectLockedCells="1" sort="0" autoFilter="0"/>
  <mergeCells count="8">
    <mergeCell ref="A1:I2"/>
    <mergeCell ref="J1:K2"/>
    <mergeCell ref="AX15:BD15"/>
    <mergeCell ref="A3:K5"/>
    <mergeCell ref="AX14:AY14"/>
    <mergeCell ref="AU14:AV14"/>
    <mergeCell ref="L1:AA2"/>
    <mergeCell ref="AB1:AF2"/>
  </mergeCells>
  <phoneticPr fontId="11" type="noConversion"/>
  <conditionalFormatting sqref="D9">
    <cfRule type="duplicateValues" dxfId="98" priority="25"/>
  </conditionalFormatting>
  <conditionalFormatting sqref="D11">
    <cfRule type="duplicateValues" dxfId="97" priority="24"/>
  </conditionalFormatting>
  <conditionalFormatting sqref="D13">
    <cfRule type="duplicateValues" dxfId="96" priority="23"/>
  </conditionalFormatting>
  <conditionalFormatting sqref="D7">
    <cfRule type="duplicateValues" dxfId="95" priority="22"/>
  </conditionalFormatting>
  <conditionalFormatting sqref="D15">
    <cfRule type="duplicateValues" dxfId="94" priority="21"/>
  </conditionalFormatting>
  <conditionalFormatting sqref="D17">
    <cfRule type="duplicateValues" dxfId="93" priority="20"/>
  </conditionalFormatting>
  <conditionalFormatting sqref="D19">
    <cfRule type="duplicateValues" dxfId="92" priority="19"/>
  </conditionalFormatting>
  <conditionalFormatting sqref="D21">
    <cfRule type="duplicateValues" dxfId="91" priority="18"/>
  </conditionalFormatting>
  <conditionalFormatting sqref="D25">
    <cfRule type="duplicateValues" dxfId="90" priority="17"/>
  </conditionalFormatting>
  <conditionalFormatting sqref="D40">
    <cfRule type="duplicateValues" dxfId="89" priority="16"/>
  </conditionalFormatting>
  <conditionalFormatting sqref="J6 E6:E95 E109:J1048576 E89:F93 F94:F99 E100:F108 J8:J108">
    <cfRule type="containsText" dxfId="88" priority="6" operator="containsText" text="International">
      <formula>NOT(ISERROR(SEARCH("International",E6)))</formula>
    </cfRule>
  </conditionalFormatting>
  <conditionalFormatting sqref="D1:D93 D100:D1048576">
    <cfRule type="duplicateValues" dxfId="87" priority="3"/>
  </conditionalFormatting>
  <conditionalFormatting sqref="D39:D41">
    <cfRule type="expression" dxfId="86" priority="345">
      <formula>VLOOKUP($E39,$A$7:$K$108,3,0)&gt;0</formula>
    </cfRule>
  </conditionalFormatting>
  <conditionalFormatting sqref="E94:E95">
    <cfRule type="containsText" dxfId="85" priority="2" operator="containsText" text="International">
      <formula>NOT(ISERROR(SEARCH("International",E94)))</formula>
    </cfRule>
  </conditionalFormatting>
  <conditionalFormatting sqref="D94:D95">
    <cfRule type="duplicateValues" dxfId="84" priority="1"/>
  </conditionalFormatting>
  <conditionalFormatting sqref="D60:D64">
    <cfRule type="expression" dxfId="83" priority="382">
      <formula>VLOOKUP(#REF!,#REF!,3,0)&gt;0</formula>
    </cfRule>
  </conditionalFormatting>
  <conditionalFormatting sqref="D66:D88">
    <cfRule type="expression" dxfId="82" priority="383">
      <formula>VLOOKUP(#REF!,#REF!,3,0)&gt;0</formula>
    </cfRule>
  </conditionalFormatting>
  <conditionalFormatting sqref="D58:D64">
    <cfRule type="expression" dxfId="81" priority="384">
      <formula>VLOOKUP(#REF!,$A$7:$K$108,3,0)&gt;0</formula>
    </cfRule>
  </conditionalFormatting>
  <conditionalFormatting sqref="D66:D88">
    <cfRule type="expression" dxfId="80" priority="385">
      <formula>VLOOKUP(#REF!,$A$7:$K$464,3,0)&gt;0</formula>
    </cfRule>
  </conditionalFormatting>
  <pageMargins left="0.7" right="0.7" top="0.78740157499999996" bottom="0.78740157499999996" header="0.3" footer="0.3"/>
  <pageSetup paperSize="9" scale="21" orientation="landscape" horizontalDpi="0" verticalDpi="0"/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8" id="{BDA6B3B8-4A82-D644-9632-5E048EA736F9}">
            <x14:iconSet iconSet="3Triangle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B7:B108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B172"/>
  <sheetViews>
    <sheetView zoomScale="12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2" sqref="B12"/>
    </sheetView>
  </sheetViews>
  <sheetFormatPr baseColWidth="10" defaultColWidth="10.83203125" defaultRowHeight="16" outlineLevelCol="1" x14ac:dyDescent="0.2"/>
  <cols>
    <col min="1" max="1" width="7.83203125" style="4" bestFit="1" customWidth="1"/>
    <col min="2" max="2" width="21" style="4" bestFit="1" customWidth="1"/>
    <col min="3" max="3" width="10.83203125" style="4"/>
    <col min="4" max="4" width="10.5" style="4" hidden="1" customWidth="1"/>
    <col min="5" max="5" width="10.5" style="4" customWidth="1"/>
    <col min="6" max="6" width="10.83203125" style="4"/>
    <col min="7" max="10" width="10.83203125" style="4" customWidth="1" outlineLevel="1"/>
    <col min="11" max="19" width="10.83203125" style="16"/>
    <col min="20" max="20" width="10.83203125" style="4"/>
    <col min="21" max="21" width="12.1640625" style="4" bestFit="1" customWidth="1"/>
    <col min="22" max="22" width="17.83203125" style="4" customWidth="1"/>
    <col min="23" max="16384" width="10.83203125" style="4"/>
  </cols>
  <sheetData>
    <row r="1" spans="1:28" ht="26" customHeight="1" x14ac:dyDescent="0.3">
      <c r="A1" s="293" t="s">
        <v>462</v>
      </c>
      <c r="B1" s="297"/>
      <c r="C1" s="297"/>
      <c r="D1" s="297"/>
      <c r="E1" s="297"/>
      <c r="F1" s="297"/>
      <c r="G1" s="304" t="s">
        <v>448</v>
      </c>
      <c r="H1" s="295"/>
      <c r="I1" s="295"/>
      <c r="J1" s="206"/>
      <c r="K1" s="303" t="s">
        <v>405</v>
      </c>
      <c r="L1" s="303"/>
      <c r="M1" s="303"/>
      <c r="N1" s="208"/>
    </row>
    <row r="2" spans="1:28" ht="26" customHeight="1" x14ac:dyDescent="0.3">
      <c r="A2" s="297"/>
      <c r="B2" s="297"/>
      <c r="C2" s="297"/>
      <c r="D2" s="297"/>
      <c r="E2" s="297"/>
      <c r="F2" s="297"/>
      <c r="G2" s="295"/>
      <c r="H2" s="295"/>
      <c r="I2" s="295"/>
      <c r="J2" s="206"/>
      <c r="K2" s="303"/>
      <c r="L2" s="303"/>
      <c r="M2" s="303"/>
      <c r="N2" s="208"/>
    </row>
    <row r="3" spans="1:28" x14ac:dyDescent="0.2">
      <c r="A3" s="114"/>
      <c r="B3" s="114"/>
      <c r="C3" s="114"/>
      <c r="D3" s="114"/>
      <c r="E3" s="174"/>
      <c r="F3" s="114"/>
      <c r="G3" s="18" t="s">
        <v>452</v>
      </c>
      <c r="H3" s="18"/>
      <c r="I3" s="18"/>
      <c r="J3" s="207"/>
      <c r="K3" s="114"/>
      <c r="L3" s="114"/>
      <c r="M3" s="114"/>
      <c r="N3" s="207"/>
    </row>
    <row r="4" spans="1:28" x14ac:dyDescent="0.2">
      <c r="A4" s="114"/>
      <c r="B4" s="114"/>
      <c r="C4" s="114"/>
      <c r="D4" s="114"/>
      <c r="E4" s="174"/>
      <c r="F4" s="114"/>
      <c r="G4" s="114"/>
      <c r="H4" s="114"/>
      <c r="I4" s="114"/>
      <c r="J4" s="207"/>
      <c r="K4" s="114"/>
      <c r="L4" s="114"/>
      <c r="M4" s="114"/>
      <c r="N4" s="207"/>
    </row>
    <row r="5" spans="1:28" x14ac:dyDescent="0.2">
      <c r="A5" s="114"/>
      <c r="B5" s="114"/>
      <c r="C5" s="114"/>
      <c r="D5" s="114"/>
      <c r="E5" s="174"/>
      <c r="F5" s="114"/>
      <c r="G5" s="233">
        <v>1.98</v>
      </c>
      <c r="H5" s="233">
        <v>1.82</v>
      </c>
      <c r="I5" s="233">
        <v>1.9</v>
      </c>
      <c r="J5" s="233">
        <v>1.46</v>
      </c>
      <c r="K5" s="116">
        <f>1+U17*4+U18*1+U19*2+U20*4+U21*3+U22*2</f>
        <v>1.9800000000000002</v>
      </c>
      <c r="L5" s="116">
        <f>1+4*U24+8*U25+0*U17+1*U18+1*U19+2*U20+0*U21+0*U22</f>
        <v>1.82</v>
      </c>
      <c r="M5" s="116">
        <f>1+U17*2+U18*4+U19*1+U20*4+U21*2+U22*2</f>
        <v>1.9000000000000004</v>
      </c>
      <c r="N5" s="116">
        <f>1+2*$U$17+1*$U$18+0*$U$19+3*$U$20+0*$U$21+0*$U$22</f>
        <v>1.4600000000000002</v>
      </c>
    </row>
    <row r="6" spans="1:28" x14ac:dyDescent="0.2">
      <c r="A6" s="5" t="s">
        <v>5</v>
      </c>
      <c r="B6" s="5" t="s">
        <v>459</v>
      </c>
      <c r="C6" s="5" t="s">
        <v>4</v>
      </c>
      <c r="D6" s="40" t="s">
        <v>393</v>
      </c>
      <c r="E6" s="40" t="s">
        <v>460</v>
      </c>
      <c r="F6" s="5" t="s">
        <v>461</v>
      </c>
      <c r="G6" s="115" t="s">
        <v>435</v>
      </c>
      <c r="H6" s="115" t="s">
        <v>436</v>
      </c>
      <c r="I6" s="115" t="s">
        <v>437</v>
      </c>
      <c r="J6" s="115" t="s">
        <v>542</v>
      </c>
      <c r="K6" s="117" t="s">
        <v>533</v>
      </c>
      <c r="L6" s="117" t="s">
        <v>532</v>
      </c>
      <c r="M6" s="117" t="s">
        <v>531</v>
      </c>
      <c r="N6" s="215" t="s">
        <v>543</v>
      </c>
    </row>
    <row r="7" spans="1:28" x14ac:dyDescent="0.2">
      <c r="A7" s="11">
        <f>RANK(F7,$F$7:$F$172,0)</f>
        <v>1</v>
      </c>
      <c r="B7" s="31" t="s">
        <v>22</v>
      </c>
      <c r="C7" s="9" t="s">
        <v>0</v>
      </c>
      <c r="D7" s="27" t="str">
        <f>IFERROR(VLOOKUP(B7,IF(IFERROR(VLOOKUP(B7,'&gt; Women &lt;'!$C$7:$D$1014,1,0),0)&gt;1,'&gt; Women &lt;'!$C$7:$D$1014,'&gt; Open &lt;'!$C$7:$D$1044),1,0)," ")</f>
        <v xml:space="preserve"> </v>
      </c>
      <c r="E7" s="27">
        <f>IFERROR(VLOOKUP(B7,IF(IFERROR(VLOOKUP(B7,'&gt; Women &lt;'!$D$7:$F$1014,2,0),0)&gt;1,'&gt; Women &lt;'!$D$7:$H$1014,'&gt; Open &lt;'!$D$7:$H$1044),3,0)," ")</f>
        <v>6050</v>
      </c>
      <c r="F7" s="109">
        <f>SUM(G7:J7)</f>
        <v>5202</v>
      </c>
      <c r="G7" s="109">
        <f>IFERROR(VLOOKUP(Mixed[[#This Row],[SM PO MI Rang]],$P$15:$Q$110,2,0)*G$5,"")</f>
        <v>2178</v>
      </c>
      <c r="H7" s="109" t="str">
        <f>IFERROR(VLOOKUP(Mixed[[#This Row],[TS SH MI Rang]],$P$15:$Q$110,2,0)*H$5,"")</f>
        <v/>
      </c>
      <c r="I7" s="109">
        <f>IFERROR(VLOOKUP(Mixed[[#This Row],[TS BE MI Rang]],$P$15:$Q$110,2,0)*I$5,"")</f>
        <v>1710</v>
      </c>
      <c r="J7" s="109">
        <f>IFERROR(VLOOKUP(Mixed[[#This Row],[TS BA Mi 07.05.22 Rang]],$P$15:$Q$110,2,0)*J$5,"")</f>
        <v>1314</v>
      </c>
      <c r="K7" s="64">
        <v>1</v>
      </c>
      <c r="L7" s="65" t="s">
        <v>434</v>
      </c>
      <c r="M7" s="66">
        <v>2</v>
      </c>
      <c r="N7" s="229">
        <v>2</v>
      </c>
    </row>
    <row r="8" spans="1:28" x14ac:dyDescent="0.2">
      <c r="A8" s="11">
        <f>RANK(F8,$F$7:$F$172,0)</f>
        <v>1</v>
      </c>
      <c r="B8" s="31" t="s">
        <v>26</v>
      </c>
      <c r="C8" s="11" t="s">
        <v>0</v>
      </c>
      <c r="D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" s="27">
        <f>IFERROR(VLOOKUP(B8,IF(IFERROR(VLOOKUP(B8,'&gt; Women &lt;'!$D$7:$F$1014,2,0),0)&gt;1,'&gt; Women &lt;'!$D$7:$H$1014,'&gt; Open &lt;'!$D$7:$H$1044),3,0)," ")</f>
        <v>1100</v>
      </c>
      <c r="F8" s="109">
        <f>SUM(G8:J8)</f>
        <v>5202</v>
      </c>
      <c r="G8" s="171">
        <f>IFERROR(VLOOKUP(Mixed[[#This Row],[SM PO MI Rang]],$P$15:$Q$110,2,0)*G$5,"")</f>
        <v>2178</v>
      </c>
      <c r="H8" s="109" t="str">
        <f>IFERROR(VLOOKUP(Mixed[[#This Row],[TS SH MI Rang]],$P$15:$Q$110,2,0)*H$5,"")</f>
        <v/>
      </c>
      <c r="I8" s="109">
        <f>IFERROR(VLOOKUP(Mixed[[#This Row],[TS BE MI Rang]],$P$15:$Q$110,2,0)*I$5,"")</f>
        <v>1710</v>
      </c>
      <c r="J8" s="109">
        <f>IFERROR(VLOOKUP(Mixed[[#This Row],[TS BA Mi 07.05.22 Rang]],$P$15:$Q$110,2,0)*J$5,"")</f>
        <v>1314</v>
      </c>
      <c r="K8" s="75">
        <v>1</v>
      </c>
      <c r="L8" s="65" t="s">
        <v>434</v>
      </c>
      <c r="M8" s="76">
        <v>2</v>
      </c>
      <c r="N8" s="230">
        <v>2</v>
      </c>
      <c r="P8" s="220"/>
    </row>
    <row r="9" spans="1:28" x14ac:dyDescent="0.2">
      <c r="A9" s="11">
        <f>RANK(F9,$F$7:$F$172,0)</f>
        <v>3</v>
      </c>
      <c r="B9" s="31" t="s">
        <v>19</v>
      </c>
      <c r="C9" s="9" t="s">
        <v>0</v>
      </c>
      <c r="D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" s="27">
        <f>IFERROR(VLOOKUP(B9,IF(IFERROR(VLOOKUP(B9,'&gt; Women &lt;'!$D$7:$F$1014,2,0),0)&gt;1,'&gt; Women &lt;'!$D$7:$H$1014,'&gt; Open &lt;'!$D$7:$H$1044),3,0)," ")</f>
        <v>4340</v>
      </c>
      <c r="F9" s="109">
        <f>SUM(G9:J9)</f>
        <v>3686.2</v>
      </c>
      <c r="G9" s="109">
        <f>IFERROR(VLOOKUP(Mixed[[#This Row],[SM PO MI Rang]],$P$15:$Q$110,2,0)*G$5,"")</f>
        <v>574.20000000000005</v>
      </c>
      <c r="H9" s="109" t="str">
        <f>IFERROR(VLOOKUP(Mixed[[#This Row],[TS SH MI Rang]],$P$15:$Q$110,2,0)*H$5,"")</f>
        <v/>
      </c>
      <c r="I9" s="109">
        <f>IFERROR(VLOOKUP(Mixed[[#This Row],[TS BE MI Rang]],$P$15:$Q$110,2,0)*I$5,"")</f>
        <v>2090</v>
      </c>
      <c r="J9" s="109">
        <f>IFERROR(VLOOKUP(Mixed[[#This Row],[TS BA Mi 07.05.22 Rang]],$P$15:$Q$110,2,0)*J$5,"")</f>
        <v>1022</v>
      </c>
      <c r="K9" s="64">
        <v>5</v>
      </c>
      <c r="L9" s="65" t="s">
        <v>434</v>
      </c>
      <c r="M9" s="66">
        <v>1</v>
      </c>
      <c r="N9" s="229">
        <v>3</v>
      </c>
    </row>
    <row r="10" spans="1:28" x14ac:dyDescent="0.2">
      <c r="A10" s="11">
        <f>RANK(F10,$F$7:$F$172,0)</f>
        <v>3</v>
      </c>
      <c r="B10" s="31" t="s">
        <v>158</v>
      </c>
      <c r="C10" s="9" t="s">
        <v>0</v>
      </c>
      <c r="D1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" s="27">
        <f>IFERROR(VLOOKUP(B10,IF(IFERROR(VLOOKUP(B10,'&gt; Women &lt;'!$D$7:$F$1014,2,0),0)&gt;1,'&gt; Women &lt;'!$D$7:$H$1014,'&gt; Open &lt;'!$D$7:$H$1044),3,0)," ")</f>
        <v>735.6</v>
      </c>
      <c r="F10" s="109">
        <f>SUM(G10:J10)</f>
        <v>3686.2</v>
      </c>
      <c r="G10" s="171">
        <f>IFERROR(VLOOKUP(Mixed[[#This Row],[SM PO MI Rang]],$P$15:$Q$110,2,0)*G$5,"")</f>
        <v>574.20000000000005</v>
      </c>
      <c r="H10" s="171" t="str">
        <f>IFERROR(VLOOKUP(Mixed[[#This Row],[TS SH MI Rang]],$P$15:$Q$110,2,0)*H$5,"")</f>
        <v/>
      </c>
      <c r="I10" s="171">
        <f>IFERROR(VLOOKUP(Mixed[[#This Row],[TS BE MI Rang]],$P$15:$Q$110,2,0)*I$5,"")</f>
        <v>2090</v>
      </c>
      <c r="J10" s="109">
        <f>IFERROR(VLOOKUP(Mixed[[#This Row],[TS BA Mi 07.05.22 Rang]],$P$15:$Q$110,2,0)*J$5,"")</f>
        <v>1022</v>
      </c>
      <c r="K10" s="75">
        <v>5</v>
      </c>
      <c r="L10" s="65" t="s">
        <v>434</v>
      </c>
      <c r="M10" s="76">
        <v>1</v>
      </c>
      <c r="N10" s="230">
        <v>3</v>
      </c>
    </row>
    <row r="11" spans="1:28" x14ac:dyDescent="0.2">
      <c r="A11" s="11">
        <f>RANK(F11,$F$7:$F$172,0)</f>
        <v>5</v>
      </c>
      <c r="B11" s="31" t="s">
        <v>27</v>
      </c>
      <c r="C11" s="9" t="s">
        <v>0</v>
      </c>
      <c r="D11" s="27" t="str">
        <f>IFERROR(VLOOKUP(B11,IF(IFERROR(VLOOKUP(B11,'&gt; Women &lt;'!$C$7:$F$1014,1,0),0)&gt;1,'&gt; Women &lt;'!$C$7:$F$1014,'&gt; Open &lt;'!$C$7:$F$1044),1,0)," ")</f>
        <v xml:space="preserve"> </v>
      </c>
      <c r="E11" s="27">
        <f>IFERROR(VLOOKUP(B11,IF(IFERROR(VLOOKUP(B11,'&gt; Women &lt;'!$D$7:$F$1014,2,0),0)&gt;1,'&gt; Women &lt;'!$D$7:$H$1014,'&gt; Open &lt;'!$D$7:$H$1044),3,0)," ")</f>
        <v>978.2</v>
      </c>
      <c r="F11" s="109">
        <f>SUM(G11:J11)</f>
        <v>3199.9</v>
      </c>
      <c r="G11" s="171">
        <f>IFERROR(VLOOKUP(Mixed[[#This Row],[SM PO MI Rang]],$P$15:$Q$110,2,0)*G$5,"")</f>
        <v>198</v>
      </c>
      <c r="H11" s="171">
        <f>IFERROR(VLOOKUP(Mixed[[#This Row],[TS SH MI Rang]],$P$15:$Q$110,2,0)*H$5,"")</f>
        <v>445.90000000000003</v>
      </c>
      <c r="I11" s="109">
        <f>IFERROR(VLOOKUP(Mixed[[#This Row],[TS BE MI Rang]],$P$15:$Q$110,2,0)*I$5,"")</f>
        <v>950</v>
      </c>
      <c r="J11" s="109">
        <f>IFERROR(VLOOKUP(Mixed[[#This Row],[TS BA Mi 07.05.22 Rang]],$P$15:$Q$110,2,0)*J$5,"")</f>
        <v>1606</v>
      </c>
      <c r="K11" s="75">
        <v>11</v>
      </c>
      <c r="L11" s="75">
        <v>6</v>
      </c>
      <c r="M11" s="76">
        <v>4</v>
      </c>
      <c r="N11" s="230">
        <v>1</v>
      </c>
      <c r="O11" s="41"/>
      <c r="P11" s="41"/>
      <c r="Q11" s="41"/>
      <c r="R11" s="41"/>
      <c r="S11" s="41"/>
    </row>
    <row r="12" spans="1:28" ht="17" x14ac:dyDescent="0.2">
      <c r="A12" s="11">
        <f>RANK(F12,$F$7:$F$172,0)</f>
        <v>6</v>
      </c>
      <c r="B12" s="31" t="s">
        <v>154</v>
      </c>
      <c r="C12" s="9" t="s">
        <v>13</v>
      </c>
      <c r="D12" s="27"/>
      <c r="E12" s="27">
        <f>IFERROR(VLOOKUP(B12,IF(IFERROR(VLOOKUP(B12,'&gt; Women &lt;'!$D$7:$F$1014,2,0),0)&gt;1,'&gt; Women &lt;'!$D$7:$H$1014,'&gt; Open &lt;'!$D$7:$H$1044),3,0)," ")</f>
        <v>3288.8</v>
      </c>
      <c r="F12" s="109">
        <f>SUM(G12:J12)</f>
        <v>3024</v>
      </c>
      <c r="G12" s="171">
        <f>IFERROR(VLOOKUP(Mixed[[#This Row],[SM PO MI Rang]],$P$15:$Q$110,2,0)*G$5,"")</f>
        <v>1386</v>
      </c>
      <c r="H12" s="171">
        <f>IFERROR(VLOOKUP(Mixed[[#This Row],[TS SH MI Rang]],$P$15:$Q$110,2,0)*H$5,"")</f>
        <v>1638</v>
      </c>
      <c r="I12" s="109" t="str">
        <f>IFERROR(VLOOKUP(Mixed[[#This Row],[TS BE MI Rang]],$P$15:$Q$110,2,0)*I$5,"")</f>
        <v/>
      </c>
      <c r="J12" s="109" t="str">
        <f>IFERROR(VLOOKUP(Mixed[[#This Row],[TS BA Mi 07.05.22 Rang]],$P$15:$Q$110,2,0)*J$5,"")</f>
        <v/>
      </c>
      <c r="K12" s="70">
        <v>3</v>
      </c>
      <c r="L12" s="75">
        <v>2</v>
      </c>
      <c r="M12" s="68" t="s">
        <v>434</v>
      </c>
      <c r="N12" s="213"/>
    </row>
    <row r="13" spans="1:28" x14ac:dyDescent="0.2">
      <c r="A13" s="34">
        <f>RANK(F13,$F$7:$F$172,0)</f>
        <v>7</v>
      </c>
      <c r="B13" s="30" t="s">
        <v>145</v>
      </c>
      <c r="C13" s="33" t="s">
        <v>12</v>
      </c>
      <c r="D1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" s="27">
        <f>IFERROR(VLOOKUP(B13,IF(IFERROR(VLOOKUP(B13,'&gt; Women &lt;'!$D$7:$F$1014,2,0),0)&gt;1,'&gt; Women &lt;'!$D$7:$H$1014,'&gt; Open &lt;'!$D$7:$H$1044),3,0)," ")</f>
        <v>604.70000000000005</v>
      </c>
      <c r="F13" s="110">
        <f>SUM(G13:J13)</f>
        <v>2320</v>
      </c>
      <c r="G13" s="110">
        <f>IFERROR(VLOOKUP(Mixed[[#This Row],[SM PO MI Rang]],$P$15:$Q$110,2,0)*G$5,"")</f>
        <v>990</v>
      </c>
      <c r="H13" s="110" t="str">
        <f>IFERROR(VLOOKUP(Mixed[[#This Row],[TS SH MI Rang]],$P$15:$Q$110,2,0)*H$5,"")</f>
        <v/>
      </c>
      <c r="I13" s="110">
        <f>IFERROR(VLOOKUP(Mixed[[#This Row],[TS BE MI Rang]],$P$15:$Q$110,2,0)*I$5,"")</f>
        <v>1330</v>
      </c>
      <c r="J13" s="109" t="str">
        <f>IFERROR(VLOOKUP(Mixed[[#This Row],[TS BA Mi 07.05.22 Rang]],$P$15:$Q$110,2,0)*J$5,"")</f>
        <v/>
      </c>
      <c r="K13" s="65">
        <v>4</v>
      </c>
      <c r="L13" s="65" t="s">
        <v>434</v>
      </c>
      <c r="M13" s="68">
        <v>3</v>
      </c>
      <c r="N13" s="213"/>
      <c r="T13" s="16"/>
      <c r="U13" s="16"/>
      <c r="V13" s="16"/>
      <c r="W13" s="16"/>
      <c r="X13" s="16"/>
      <c r="Y13" s="16"/>
      <c r="Z13" s="16"/>
      <c r="AA13" s="16"/>
    </row>
    <row r="14" spans="1:28" x14ac:dyDescent="0.2">
      <c r="A14" s="11">
        <f>RANK(F14,$F$7:$F$172,0)</f>
        <v>7</v>
      </c>
      <c r="B14" s="31" t="s">
        <v>156</v>
      </c>
      <c r="C14" s="1" t="s">
        <v>12</v>
      </c>
      <c r="D1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" s="27">
        <f>IFERROR(VLOOKUP(B14,IF(IFERROR(VLOOKUP(B14,'&gt; Women &lt;'!$D$7:$F$1014,2,0),0)&gt;1,'&gt; Women &lt;'!$D$7:$H$1014,'&gt; Open &lt;'!$D$7:$H$1044),3,0)," ")</f>
        <v>951.5</v>
      </c>
      <c r="F14" s="109">
        <f>SUM(G14:J14)</f>
        <v>2320</v>
      </c>
      <c r="G14" s="109">
        <f>IFERROR(VLOOKUP(Mixed[[#This Row],[SM PO MI Rang]],$P$15:$Q$110,2,0)*G$5,"")</f>
        <v>990</v>
      </c>
      <c r="H14" s="109" t="str">
        <f>IFERROR(VLOOKUP(Mixed[[#This Row],[TS SH MI Rang]],$P$15:$Q$110,2,0)*H$5,"")</f>
        <v/>
      </c>
      <c r="I14" s="109">
        <f>IFERROR(VLOOKUP(Mixed[[#This Row],[TS BE MI Rang]],$P$15:$Q$110,2,0)*I$5,"")</f>
        <v>1330</v>
      </c>
      <c r="J14" s="109" t="str">
        <f>IFERROR(VLOOKUP(Mixed[[#This Row],[TS BA Mi 07.05.22 Rang]],$P$15:$Q$110,2,0)*J$5,"")</f>
        <v/>
      </c>
      <c r="K14" s="70">
        <v>4</v>
      </c>
      <c r="L14" s="65" t="s">
        <v>434</v>
      </c>
      <c r="M14" s="69">
        <v>3</v>
      </c>
      <c r="N14" s="213"/>
      <c r="P14" s="301" t="s">
        <v>396</v>
      </c>
      <c r="Q14" s="302"/>
      <c r="T14" s="63" t="s">
        <v>397</v>
      </c>
      <c r="U14" s="59"/>
      <c r="V14" s="16"/>
      <c r="W14" s="16"/>
      <c r="X14" s="16"/>
      <c r="Y14" s="16"/>
      <c r="Z14" s="16"/>
    </row>
    <row r="15" spans="1:28" x14ac:dyDescent="0.2">
      <c r="A15" s="34">
        <f>RANK(F15,$F$7:$F$172,0)</f>
        <v>9</v>
      </c>
      <c r="B15" s="9" t="s">
        <v>181</v>
      </c>
      <c r="C15" s="9" t="s">
        <v>13</v>
      </c>
      <c r="D1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" s="27">
        <f>IFERROR(VLOOKUP(B15,IF(IFERROR(VLOOKUP(B15,'&gt; Women &lt;'!$D$7:$F$1014,2,0),0)&gt;1,'&gt; Women &lt;'!$D$7:$H$1014,'&gt; Open &lt;'!$D$7:$H$1044),3,0)," ")</f>
        <v>4282</v>
      </c>
      <c r="F15" s="110">
        <f>SUM(G15:J15)</f>
        <v>2061.4</v>
      </c>
      <c r="G15" s="110" t="str">
        <f>IFERROR(VLOOKUP(Mixed[[#This Row],[SM PO MI Rang]],$P$15:$Q$110,2,0)*G$5,"")</f>
        <v/>
      </c>
      <c r="H15" s="110">
        <f>IFERROR(VLOOKUP(Mixed[[#This Row],[TS SH MI Rang]],$P$15:$Q$110,2,0)*H$5,"")</f>
        <v>1638</v>
      </c>
      <c r="I15" s="110" t="str">
        <f>IFERROR(VLOOKUP(Mixed[[#This Row],[TS BE MI Rang]],$P$15:$Q$110,2,0)*I$5,"")</f>
        <v/>
      </c>
      <c r="J15" s="109">
        <f>IFERROR(VLOOKUP(Mixed[[#This Row],[TS BA Mi 07.05.22 Rang]],$P$15:$Q$110,2,0)*J$5,"")</f>
        <v>423.4</v>
      </c>
      <c r="K15" s="65" t="s">
        <v>434</v>
      </c>
      <c r="L15" s="73">
        <v>2</v>
      </c>
      <c r="M15" s="68" t="s">
        <v>434</v>
      </c>
      <c r="N15" s="232">
        <v>5</v>
      </c>
      <c r="P15" s="155" t="s">
        <v>5</v>
      </c>
      <c r="Q15" s="155" t="s">
        <v>6</v>
      </c>
      <c r="R15" s="17"/>
      <c r="S15" s="17"/>
      <c r="T15" s="305" t="s">
        <v>466</v>
      </c>
      <c r="U15" s="305"/>
      <c r="V15" s="305"/>
      <c r="W15" s="305"/>
      <c r="X15" s="305"/>
      <c r="Y15" s="305"/>
      <c r="Z15" s="305"/>
      <c r="AA15" s="305"/>
      <c r="AB15" s="305"/>
    </row>
    <row r="16" spans="1:28" x14ac:dyDescent="0.2">
      <c r="A16" s="11">
        <f>RANK(F16,$F$7:$F$172,0)</f>
        <v>10</v>
      </c>
      <c r="B16" s="25" t="s">
        <v>295</v>
      </c>
      <c r="C16" s="4" t="s">
        <v>18</v>
      </c>
      <c r="D1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" s="27" t="str">
        <f>IFERROR(VLOOKUP(B16,IF(IFERROR(VLOOKUP(B16,'&gt; Women &lt;'!$D$7:$F$1014,2,0),0)&gt;1,'&gt; Women &lt;'!$D$7:$H$1014,'&gt; Open &lt;'!$D$7:$H$1044),3,0)," ")</f>
        <v xml:space="preserve"> </v>
      </c>
      <c r="F16" s="109">
        <f>SUM(G16:J16)</f>
        <v>2002</v>
      </c>
      <c r="G16" s="109" t="str">
        <f>IFERROR(VLOOKUP(Mixed[[#This Row],[SM PO MI Rang]],$P$15:$Q$110,2,0)*G$5,"")</f>
        <v/>
      </c>
      <c r="H16" s="109">
        <f>IFERROR(VLOOKUP(Mixed[[#This Row],[TS SH MI Rang]],$P$15:$Q$110,2,0)*H$5,"")</f>
        <v>2002</v>
      </c>
      <c r="I16" s="109" t="str">
        <f>IFERROR(VLOOKUP(Mixed[[#This Row],[TS BE MI Rang]],$P$15:$Q$110,2,0)*I$5,"")</f>
        <v/>
      </c>
      <c r="J16" s="109" t="str">
        <f>IFERROR(VLOOKUP(Mixed[[#This Row],[TS BA Mi 07.05.22 Rang]],$P$15:$Q$110,2,0)*J$5,"")</f>
        <v/>
      </c>
      <c r="K16" s="65" t="s">
        <v>434</v>
      </c>
      <c r="L16" s="83">
        <v>1</v>
      </c>
      <c r="M16" s="68" t="s">
        <v>434</v>
      </c>
      <c r="N16" s="213"/>
      <c r="P16" s="155">
        <v>1</v>
      </c>
      <c r="Q16" s="155">
        <v>1100</v>
      </c>
      <c r="R16" s="17"/>
      <c r="S16" s="17"/>
      <c r="T16" s="17"/>
      <c r="U16" s="17"/>
      <c r="V16" s="17"/>
      <c r="W16" s="17"/>
      <c r="X16" s="44"/>
      <c r="Y16" s="44"/>
      <c r="Z16" s="17"/>
      <c r="AA16" s="17"/>
      <c r="AB16" s="17"/>
    </row>
    <row r="17" spans="1:28" x14ac:dyDescent="0.2">
      <c r="A17" s="34">
        <f>RANK(F17,$F$7:$F$172,0)</f>
        <v>10</v>
      </c>
      <c r="B17" t="s">
        <v>296</v>
      </c>
      <c r="C17" s="6" t="s">
        <v>18</v>
      </c>
      <c r="D1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7" s="27" t="str">
        <f>IFERROR(VLOOKUP(B17,IF(IFERROR(VLOOKUP(B17,'&gt; Women &lt;'!$D$7:$F$1014,2,0),0)&gt;1,'&gt; Women &lt;'!$D$7:$H$1014,'&gt; Open &lt;'!$D$7:$H$1044),3,0)," ")</f>
        <v xml:space="preserve"> </v>
      </c>
      <c r="F17" s="110">
        <f>SUM(G17:J17)</f>
        <v>2002</v>
      </c>
      <c r="G17" s="110" t="str">
        <f>IFERROR(VLOOKUP(Mixed[[#This Row],[SM PO MI Rang]],$P$15:$Q$110,2,0)*G$5,"")</f>
        <v/>
      </c>
      <c r="H17" s="110">
        <f>IFERROR(VLOOKUP(Mixed[[#This Row],[TS SH MI Rang]],$P$15:$Q$110,2,0)*H$5,"")</f>
        <v>2002</v>
      </c>
      <c r="I17" s="110" t="str">
        <f>IFERROR(VLOOKUP(Mixed[[#This Row],[TS BE MI Rang]],$P$15:$Q$110,2,0)*I$5,"")</f>
        <v/>
      </c>
      <c r="J17" s="109" t="str">
        <f>IFERROR(VLOOKUP(Mixed[[#This Row],[TS BA Mi 07.05.22 Rang]],$P$15:$Q$110,2,0)*J$5,"")</f>
        <v/>
      </c>
      <c r="K17" s="65" t="s">
        <v>434</v>
      </c>
      <c r="L17" s="83">
        <v>1</v>
      </c>
      <c r="M17" s="68" t="s">
        <v>434</v>
      </c>
      <c r="N17" s="213"/>
      <c r="O17" s="41"/>
      <c r="P17" s="163">
        <v>2</v>
      </c>
      <c r="Q17" s="163">
        <v>900</v>
      </c>
      <c r="R17" s="161"/>
      <c r="S17" s="161"/>
      <c r="T17" s="156" t="s">
        <v>399</v>
      </c>
      <c r="U17" s="183">
        <v>0.06</v>
      </c>
      <c r="V17" s="17" t="s">
        <v>406</v>
      </c>
      <c r="W17" s="17"/>
      <c r="X17" s="169"/>
      <c r="Y17" s="169"/>
      <c r="Z17" s="17"/>
      <c r="AA17" s="17"/>
      <c r="AB17" s="17"/>
    </row>
    <row r="18" spans="1:28" x14ac:dyDescent="0.2">
      <c r="A18" s="11">
        <f>RANK(F18,$F$7:$F$172,0)</f>
        <v>12</v>
      </c>
      <c r="B18" s="31" t="s">
        <v>21</v>
      </c>
      <c r="C18" s="9" t="s">
        <v>0</v>
      </c>
      <c r="D1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8" s="27">
        <f>IFERROR(VLOOKUP(B18,IF(IFERROR(VLOOKUP(B18,'&gt; Women &lt;'!$D$7:$F$1014,2,0),0)&gt;1,'&gt; Women &lt;'!$D$7:$H$1014,'&gt; Open &lt;'!$D$7:$H$1044),3,0)," ")</f>
        <v>6050</v>
      </c>
      <c r="F18" s="109">
        <f>SUM(G18:J18)</f>
        <v>1972</v>
      </c>
      <c r="G18" s="109">
        <f>IFERROR(VLOOKUP(Mixed[[#This Row],[SM PO MI Rang]],$P$15:$Q$110,2,0)*G$5,"")</f>
        <v>1782</v>
      </c>
      <c r="H18" s="109" t="str">
        <f>IFERROR(VLOOKUP(Mixed[[#This Row],[TS SH MI Rang]],$P$15:$Q$110,2,0)*H$5,"")</f>
        <v/>
      </c>
      <c r="I18" s="109">
        <f>IFERROR(VLOOKUP(Mixed[[#This Row],[TS BE MI Rang]],$P$15:$Q$110,2,0)*I$5,"")</f>
        <v>190</v>
      </c>
      <c r="J18" s="109" t="str">
        <f>IFERROR(VLOOKUP(Mixed[[#This Row],[TS BA Mi 07.05.22 Rang]],$P$15:$Q$110,2,0)*J$5,"")</f>
        <v/>
      </c>
      <c r="K18" s="64">
        <v>2</v>
      </c>
      <c r="L18" s="65" t="s">
        <v>434</v>
      </c>
      <c r="M18" s="67">
        <v>9</v>
      </c>
      <c r="N18" s="214"/>
      <c r="P18" s="155">
        <v>3</v>
      </c>
      <c r="Q18" s="155">
        <v>700</v>
      </c>
      <c r="R18" s="17"/>
      <c r="S18" s="17"/>
      <c r="T18" s="156" t="s">
        <v>399</v>
      </c>
      <c r="U18" s="184">
        <v>0.04</v>
      </c>
      <c r="V18" s="17" t="s">
        <v>407</v>
      </c>
      <c r="W18" s="17"/>
      <c r="X18" s="17"/>
      <c r="Y18" s="169"/>
      <c r="Z18" s="17"/>
      <c r="AA18" s="17"/>
      <c r="AB18" s="17"/>
    </row>
    <row r="19" spans="1:28" x14ac:dyDescent="0.2">
      <c r="A19" s="11">
        <f>RANK(F19,$F$7:$F$172,0)</f>
        <v>12</v>
      </c>
      <c r="B19" s="31" t="s">
        <v>38</v>
      </c>
      <c r="C19" s="9" t="s">
        <v>0</v>
      </c>
      <c r="D1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9" s="27">
        <f>IFERROR(VLOOKUP(B19,IF(IFERROR(VLOOKUP(B19,'&gt; Women &lt;'!$D$7:$F$1014,2,0),0)&gt;1,'&gt; Women &lt;'!$D$7:$H$1014,'&gt; Open &lt;'!$D$7:$H$1044),3,0)," ")</f>
        <v>805.1</v>
      </c>
      <c r="F19" s="109">
        <f>SUM(G19:J19)</f>
        <v>1972</v>
      </c>
      <c r="G19" s="171">
        <f>IFERROR(VLOOKUP(Mixed[[#This Row],[SM PO MI Rang]],$P$15:$Q$110,2,0)*G$5,"")</f>
        <v>1782</v>
      </c>
      <c r="H19" s="109" t="str">
        <f>IFERROR(VLOOKUP(Mixed[[#This Row],[TS SH MI Rang]],$P$15:$Q$110,2,0)*H$5,"")</f>
        <v/>
      </c>
      <c r="I19" s="109">
        <f>IFERROR(VLOOKUP(Mixed[[#This Row],[TS BE MI Rang]],$P$15:$Q$110,2,0)*I$5,"")</f>
        <v>190</v>
      </c>
      <c r="J19" s="109" t="str">
        <f>IFERROR(VLOOKUP(Mixed[[#This Row],[TS BA Mi 07.05.22 Rang]],$P$15:$Q$110,2,0)*J$5,"")</f>
        <v/>
      </c>
      <c r="K19" s="78">
        <v>2</v>
      </c>
      <c r="L19" s="65" t="s">
        <v>434</v>
      </c>
      <c r="M19" s="79">
        <v>9</v>
      </c>
      <c r="N19" s="213"/>
      <c r="P19" s="155">
        <v>4</v>
      </c>
      <c r="Q19" s="155">
        <v>500</v>
      </c>
      <c r="R19" s="17"/>
      <c r="S19" s="17"/>
      <c r="T19" s="156" t="s">
        <v>399</v>
      </c>
      <c r="U19" s="185">
        <v>0.02</v>
      </c>
      <c r="V19" s="17" t="s">
        <v>408</v>
      </c>
      <c r="W19" s="17"/>
      <c r="X19" s="169"/>
      <c r="Y19" s="169"/>
      <c r="Z19" s="17"/>
      <c r="AA19" s="17"/>
      <c r="AB19" s="17"/>
    </row>
    <row r="20" spans="1:28" x14ac:dyDescent="0.2">
      <c r="A20" s="11">
        <f>RANK(F20,$F$7:$F$172,0)</f>
        <v>14</v>
      </c>
      <c r="B20" s="9" t="s">
        <v>196</v>
      </c>
      <c r="C20" s="9" t="s">
        <v>8</v>
      </c>
      <c r="D2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0" s="27">
        <f>IFERROR(VLOOKUP(B20,IF(IFERROR(VLOOKUP(B20,'&gt; Women &lt;'!$D$7:$F$1014,2,0),0)&gt;1,'&gt; Women &lt;'!$D$7:$H$1014,'&gt; Open &lt;'!$D$7:$H$1044),3,0)," ")</f>
        <v>901.59999999999991</v>
      </c>
      <c r="F20" s="109">
        <f>SUM(G20:J20)</f>
        <v>1769.9</v>
      </c>
      <c r="G20" s="109">
        <f>IFERROR(VLOOKUP(Mixed[[#This Row],[SM PO MI Rang]],$P$15:$Q$110,2,0)*G$5,"")</f>
        <v>306.89999999999998</v>
      </c>
      <c r="H20" s="109">
        <f>IFERROR(VLOOKUP(Mixed[[#This Row],[TS SH MI Rang]],$P$15:$Q$110,2,0)*H$5,"")</f>
        <v>182</v>
      </c>
      <c r="I20" s="109">
        <f>IFERROR(VLOOKUP(Mixed[[#This Row],[TS BE MI Rang]],$P$15:$Q$110,2,0)*I$5,"")</f>
        <v>551</v>
      </c>
      <c r="J20" s="109">
        <f>IFERROR(VLOOKUP(Mixed[[#This Row],[TS BA Mi 07.05.22 Rang]],$P$15:$Q$110,2,0)*J$5,"")</f>
        <v>730</v>
      </c>
      <c r="K20" s="78">
        <v>8</v>
      </c>
      <c r="L20" s="70">
        <v>13</v>
      </c>
      <c r="M20" s="79">
        <v>5</v>
      </c>
      <c r="N20" s="232">
        <v>4</v>
      </c>
      <c r="P20" s="155">
        <v>5</v>
      </c>
      <c r="Q20" s="155">
        <v>290</v>
      </c>
      <c r="R20" s="17"/>
      <c r="S20" s="17"/>
      <c r="T20" s="156" t="s">
        <v>399</v>
      </c>
      <c r="U20" s="186">
        <v>0.1</v>
      </c>
      <c r="V20" s="17" t="s">
        <v>409</v>
      </c>
      <c r="W20" s="17"/>
      <c r="X20" s="169"/>
      <c r="Y20" s="169"/>
      <c r="Z20" s="17"/>
      <c r="AA20" s="17"/>
      <c r="AB20" s="17"/>
    </row>
    <row r="21" spans="1:28" x14ac:dyDescent="0.2">
      <c r="A21" s="34">
        <f>RANK(F21,$F$7:$F$172,0)</f>
        <v>15</v>
      </c>
      <c r="B21" s="11" t="s">
        <v>78</v>
      </c>
      <c r="C21" s="4" t="s">
        <v>16</v>
      </c>
      <c r="D21" s="27" t="str">
        <f>IFERROR(IF(IFERROR(VLOOKUP(Mixed[[#This Row],[Name]],'&gt; Women &lt;'!C$7:D$517,1,0),0)&gt;0, VLOOKUP(Mixed[[#This Row],[Name]],'&gt; Women &lt;'!C$7:D$503,1,0),VLOOKUP(Mixed[[#This Row],[Name]],'&gt; Open &lt;'!C$7:D$586,1,0)), " ")</f>
        <v xml:space="preserve"> </v>
      </c>
      <c r="E21" s="216">
        <f>IFERROR(VLOOKUP(B21,IF(IFERROR(VLOOKUP(B21,'&gt; Women &lt;'!$D$7:$F$1014,2,0),0)&gt;1,'&gt; Women &lt;'!$D$7:$H$1014,'&gt; Open &lt;'!$D$7:$H$1044),3,0)," ")</f>
        <v>2115.9</v>
      </c>
      <c r="F21" s="110">
        <f>SUM(G21:J21)</f>
        <v>1606</v>
      </c>
      <c r="G21" s="34" t="str">
        <f>IFERROR(VLOOKUP(Mixed[[#This Row],[SM PO MI Rang]],$P$15:$Q$110,2,0)*G$5,"")</f>
        <v/>
      </c>
      <c r="H21" s="34" t="str">
        <f>IFERROR(VLOOKUP(Mixed[[#This Row],[TS SH MI Rang]],$P$15:$Q$110,2,0)*H$5,"")</f>
        <v/>
      </c>
      <c r="I21" s="34" t="str">
        <f>IFERROR(VLOOKUP(Mixed[[#This Row],[TS BE MI Rang]],$P$15:$Q$110,2,0)*I$5,"")</f>
        <v/>
      </c>
      <c r="J21" s="110">
        <f>IFERROR(VLOOKUP(Mixed[[#This Row],[TS BA Mi 07.05.22 Rang]],$P$15:$Q$110,2,0)*J$5,"")</f>
        <v>1606</v>
      </c>
      <c r="K21" s="217" t="str">
        <f>IFERROR(VLOOKUP(Mixed[[#This Row],[Name]],#REF!,4,0),"")</f>
        <v/>
      </c>
      <c r="L21" s="217" t="str">
        <f>IFERROR(VLOOKUP(Mixed[[#This Row],[Name]],#REF!,4,0),"")</f>
        <v/>
      </c>
      <c r="M21" s="218" t="str">
        <f>IFERROR(VLOOKUP(Mixed[[#This Row],[Name]],#REF!,4,0),"")</f>
        <v/>
      </c>
      <c r="N21" s="231">
        <v>1</v>
      </c>
      <c r="P21" s="155">
        <v>6</v>
      </c>
      <c r="Q21" s="155">
        <v>245</v>
      </c>
      <c r="R21" s="17"/>
      <c r="S21" s="17"/>
      <c r="T21" s="156" t="s">
        <v>399</v>
      </c>
      <c r="U21" s="187">
        <v>0.06</v>
      </c>
      <c r="V21" s="17" t="s">
        <v>410</v>
      </c>
      <c r="W21" s="17"/>
      <c r="X21" s="169"/>
      <c r="Y21" s="169"/>
      <c r="Z21" s="169"/>
      <c r="AA21" s="17"/>
      <c r="AB21" s="17"/>
    </row>
    <row r="22" spans="1:28" x14ac:dyDescent="0.2">
      <c r="A22" s="34">
        <f>RANK(F22,$F$7:$F$172,0)</f>
        <v>16</v>
      </c>
      <c r="B22" s="31" t="s">
        <v>24</v>
      </c>
      <c r="C22" s="9" t="s">
        <v>0</v>
      </c>
      <c r="D2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2" s="27">
        <f>IFERROR(VLOOKUP(B22,IF(IFERROR(VLOOKUP(B22,'&gt; Women &lt;'!$D$7:$F$1014,2,0),0)&gt;1,'&gt; Women &lt;'!$D$7:$H$1014,'&gt; Open &lt;'!$D$7:$H$1044),3,0)," ")</f>
        <v>1359.8</v>
      </c>
      <c r="F22" s="110">
        <f>SUM(G22:J22)</f>
        <v>1593.9</v>
      </c>
      <c r="G22" s="110">
        <f>IFERROR(VLOOKUP(Mixed[[#This Row],[SM PO MI Rang]],$P$15:$Q$110,2,0)*G$5,"")</f>
        <v>198</v>
      </c>
      <c r="H22" s="110">
        <f>IFERROR(VLOOKUP(Mixed[[#This Row],[TS SH MI Rang]],$P$15:$Q$110,2,0)*H$5,"")</f>
        <v>445.90000000000003</v>
      </c>
      <c r="I22" s="110">
        <f>IFERROR(VLOOKUP(Mixed[[#This Row],[TS BE MI Rang]],$P$15:$Q$110,2,0)*I$5,"")</f>
        <v>950</v>
      </c>
      <c r="J22" s="109" t="str">
        <f>IFERROR(VLOOKUP(Mixed[[#This Row],[TS BA Mi 07.05.22 Rang]],$P$15:$Q$110,2,0)*J$5,"")</f>
        <v/>
      </c>
      <c r="K22" s="71">
        <v>11</v>
      </c>
      <c r="L22" s="71">
        <v>6</v>
      </c>
      <c r="M22" s="72">
        <v>4</v>
      </c>
      <c r="N22" s="213"/>
      <c r="P22" s="155">
        <v>7</v>
      </c>
      <c r="Q22" s="155">
        <v>200</v>
      </c>
      <c r="R22" s="17"/>
      <c r="S22" s="17"/>
      <c r="T22" s="156" t="s">
        <v>399</v>
      </c>
      <c r="U22" s="188">
        <v>0.04</v>
      </c>
      <c r="V22" s="17" t="s">
        <v>411</v>
      </c>
      <c r="W22" s="17"/>
      <c r="X22" s="169"/>
      <c r="Y22" s="169"/>
      <c r="Z22" s="169"/>
      <c r="AA22" s="17"/>
      <c r="AB22" s="11"/>
    </row>
    <row r="23" spans="1:28" x14ac:dyDescent="0.2">
      <c r="A23" s="34">
        <f>RANK(F23,$F$7:$F$172,0)</f>
        <v>17</v>
      </c>
      <c r="B23" s="31" t="s">
        <v>83</v>
      </c>
      <c r="C23" s="9" t="s">
        <v>8</v>
      </c>
      <c r="D2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3" s="27">
        <f>IFERROR(VLOOKUP(B23,IF(IFERROR(VLOOKUP(B23,'&gt; Women &lt;'!$D$7:$F$1014,2,0),0)&gt;1,'&gt; Women &lt;'!$D$7:$H$1014,'&gt; Open &lt;'!$D$7:$H$1044),3,0)," ")</f>
        <v>709.9</v>
      </c>
      <c r="F23" s="110">
        <f>SUM(G23:J23)</f>
        <v>1587.9</v>
      </c>
      <c r="G23" s="110">
        <f>IFERROR(VLOOKUP(Mixed[[#This Row],[SM PO MI Rang]],$P$15:$Q$110,2,0)*G$5,"")</f>
        <v>306.89999999999998</v>
      </c>
      <c r="H23" s="110" t="str">
        <f>IFERROR(VLOOKUP(Mixed[[#This Row],[TS SH MI Rang]],$P$15:$Q$110,2,0)*H$5,"")</f>
        <v/>
      </c>
      <c r="I23" s="110">
        <f>IFERROR(VLOOKUP(Mixed[[#This Row],[TS BE MI Rang]],$P$15:$Q$110,2,0)*I$5,"")</f>
        <v>551</v>
      </c>
      <c r="J23" s="109">
        <f>IFERROR(VLOOKUP(Mixed[[#This Row],[TS BA Mi 07.05.22 Rang]],$P$15:$Q$110,2,0)*J$5,"")</f>
        <v>730</v>
      </c>
      <c r="K23" s="73">
        <v>8</v>
      </c>
      <c r="L23" s="65" t="s">
        <v>434</v>
      </c>
      <c r="M23" s="74">
        <v>5</v>
      </c>
      <c r="N23" s="213">
        <v>4</v>
      </c>
      <c r="P23" s="155">
        <v>8</v>
      </c>
      <c r="Q23" s="155">
        <v>155</v>
      </c>
      <c r="R23" s="17"/>
      <c r="S23" s="17"/>
      <c r="T23" s="157" t="s">
        <v>402</v>
      </c>
      <c r="U23" s="157"/>
      <c r="V23" s="157"/>
      <c r="W23" s="157"/>
      <c r="X23" s="169"/>
      <c r="Y23" s="169"/>
      <c r="Z23" s="169"/>
      <c r="AA23" s="17"/>
      <c r="AB23" s="11"/>
    </row>
    <row r="24" spans="1:28" x14ac:dyDescent="0.2">
      <c r="A24" s="34">
        <f>RANK(F24,$F$7:$F$172,0)</f>
        <v>18</v>
      </c>
      <c r="B24" s="9" t="s">
        <v>169</v>
      </c>
      <c r="C24" s="9" t="s">
        <v>13</v>
      </c>
      <c r="D2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4" s="27">
        <f>IFERROR(VLOOKUP(B24,IF(IFERROR(VLOOKUP(B24,'&gt; Women &lt;'!$D$7:$F$1014,2,0),0)&gt;1,'&gt; Women &lt;'!$D$7:$H$1014,'&gt; Open &lt;'!$D$7:$H$1044),3,0)," ")</f>
        <v>0</v>
      </c>
      <c r="F24" s="110">
        <f>SUM(G24:J24)</f>
        <v>1386</v>
      </c>
      <c r="G24" s="110">
        <f>IFERROR(VLOOKUP(Mixed[[#This Row],[SM PO MI Rang]],$P$15:$Q$110,2,0)*G$5,"")</f>
        <v>1386</v>
      </c>
      <c r="H24" s="110" t="str">
        <f>IFERROR(VLOOKUP(Mixed[[#This Row],[TS SH MI Rang]],$P$15:$Q$110,2,0)*H$5,"")</f>
        <v/>
      </c>
      <c r="I24" s="110" t="str">
        <f>IFERROR(VLOOKUP(Mixed[[#This Row],[TS BE MI Rang]],$P$15:$Q$110,2,0)*I$5,"")</f>
        <v/>
      </c>
      <c r="J24" s="109" t="str">
        <f>IFERROR(VLOOKUP(Mixed[[#This Row],[TS BA Mi 07.05.22 Rang]],$P$15:$Q$110,2,0)*J$5,"")</f>
        <v/>
      </c>
      <c r="K24" s="65">
        <v>3</v>
      </c>
      <c r="L24" s="65" t="s">
        <v>434</v>
      </c>
      <c r="M24" s="68" t="s">
        <v>434</v>
      </c>
      <c r="N24" s="213"/>
      <c r="P24" s="155">
        <v>9</v>
      </c>
      <c r="Q24" s="155">
        <v>100</v>
      </c>
      <c r="R24" s="17"/>
      <c r="S24" s="17"/>
      <c r="T24" s="156" t="s">
        <v>399</v>
      </c>
      <c r="U24" s="121">
        <v>0.08</v>
      </c>
      <c r="V24" s="25" t="s">
        <v>412</v>
      </c>
      <c r="W24" s="17"/>
      <c r="X24" s="169"/>
      <c r="Y24" s="43"/>
      <c r="Z24" s="169"/>
      <c r="AA24" s="17"/>
      <c r="AB24" s="11"/>
    </row>
    <row r="25" spans="1:28" x14ac:dyDescent="0.2">
      <c r="A25" s="34">
        <f>RANK(F25,$F$7:$F$172,0)</f>
        <v>19</v>
      </c>
      <c r="B25" s="25" t="s">
        <v>297</v>
      </c>
      <c r="C25" s="4" t="s">
        <v>18</v>
      </c>
      <c r="D2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5" s="27">
        <f>IFERROR(VLOOKUP(B25,IF(IFERROR(VLOOKUP(B25,'&gt; Women &lt;'!$D$7:$F$1014,2,0),0)&gt;1,'&gt; Women &lt;'!$D$7:$H$1014,'&gt; Open &lt;'!$D$7:$H$1044),3,0)," ")</f>
        <v>0</v>
      </c>
      <c r="F25" s="110">
        <f>SUM(G25:J25)</f>
        <v>1274</v>
      </c>
      <c r="G25" s="110" t="str">
        <f>IFERROR(VLOOKUP(Mixed[[#This Row],[SM PO MI Rang]],$P$15:$Q$110,2,0)*G$5,"")</f>
        <v/>
      </c>
      <c r="H25" s="110">
        <f>IFERROR(VLOOKUP(Mixed[[#This Row],[TS SH MI Rang]],$P$15:$Q$110,2,0)*H$5,"")</f>
        <v>1274</v>
      </c>
      <c r="I25" s="110" t="str">
        <f>IFERROR(VLOOKUP(Mixed[[#This Row],[TS BE MI Rang]],$P$15:$Q$110,2,0)*I$5,"")</f>
        <v/>
      </c>
      <c r="J25" s="109" t="str">
        <f>IFERROR(VLOOKUP(Mixed[[#This Row],[TS BA Mi 07.05.22 Rang]],$P$15:$Q$110,2,0)*J$5,"")</f>
        <v/>
      </c>
      <c r="K25" s="65" t="s">
        <v>434</v>
      </c>
      <c r="L25" s="83">
        <v>3</v>
      </c>
      <c r="M25" s="68" t="s">
        <v>434</v>
      </c>
      <c r="N25" s="213"/>
      <c r="P25" s="155">
        <v>10</v>
      </c>
      <c r="Q25" s="155">
        <v>100</v>
      </c>
      <c r="R25" s="17"/>
      <c r="S25" s="17"/>
      <c r="T25" s="156" t="s">
        <v>399</v>
      </c>
      <c r="U25" s="158">
        <v>0.03</v>
      </c>
      <c r="V25" s="25" t="s">
        <v>413</v>
      </c>
      <c r="W25" s="17"/>
      <c r="X25" s="169"/>
      <c r="Y25" s="43"/>
      <c r="Z25" s="169"/>
      <c r="AA25" s="17"/>
      <c r="AB25" s="11"/>
    </row>
    <row r="26" spans="1:28" x14ac:dyDescent="0.2">
      <c r="A26" s="11">
        <f>RANK(F26,$F$7:$F$172,0)</f>
        <v>19</v>
      </c>
      <c r="B26" s="25" t="s">
        <v>298</v>
      </c>
      <c r="C26" t="s">
        <v>18</v>
      </c>
      <c r="D2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6" s="27" t="str">
        <f>IFERROR(VLOOKUP(B26,IF(IFERROR(VLOOKUP(B26,'&gt; Women &lt;'!$D$7:$F$1014,2,0),0)&gt;1,'&gt; Women &lt;'!$D$7:$H$1014,'&gt; Open &lt;'!$D$7:$H$1044),3,0)," ")</f>
        <v xml:space="preserve"> </v>
      </c>
      <c r="F26" s="109">
        <f>SUM(G26:J26)</f>
        <v>1274</v>
      </c>
      <c r="G26" s="109" t="str">
        <f>IFERROR(VLOOKUP(Mixed[[#This Row],[SM PO MI Rang]],$P$15:$Q$110,2,0)*G$5,"")</f>
        <v/>
      </c>
      <c r="H26" s="109">
        <f>IFERROR(VLOOKUP(Mixed[[#This Row],[TS SH MI Rang]],$P$15:$Q$110,2,0)*H$5,"")</f>
        <v>1274</v>
      </c>
      <c r="I26" s="109" t="str">
        <f>IFERROR(VLOOKUP(Mixed[[#This Row],[TS BE MI Rang]],$P$15:$Q$110,2,0)*I$5,"")</f>
        <v/>
      </c>
      <c r="J26" s="109" t="str">
        <f>IFERROR(VLOOKUP(Mixed[[#This Row],[TS BA Mi 07.05.22 Rang]],$P$15:$Q$110,2,0)*J$5,"")</f>
        <v/>
      </c>
      <c r="K26" s="65" t="s">
        <v>434</v>
      </c>
      <c r="L26" s="83">
        <v>3</v>
      </c>
      <c r="M26" s="68" t="s">
        <v>434</v>
      </c>
      <c r="N26" s="213"/>
      <c r="O26" s="41"/>
      <c r="P26" s="163">
        <v>11</v>
      </c>
      <c r="Q26" s="163">
        <v>100</v>
      </c>
      <c r="R26" s="161"/>
      <c r="S26" s="161"/>
      <c r="T26" s="17"/>
      <c r="U26" s="11"/>
      <c r="V26" s="11"/>
      <c r="W26" s="11"/>
      <c r="X26" s="17"/>
      <c r="Y26" s="17"/>
      <c r="Z26" s="17"/>
      <c r="AA26" s="17"/>
      <c r="AB26" s="11"/>
    </row>
    <row r="27" spans="1:28" x14ac:dyDescent="0.2">
      <c r="A27" s="11">
        <f>RANK(F27,$F$7:$F$172,0)</f>
        <v>21</v>
      </c>
      <c r="B27" s="25" t="s">
        <v>300</v>
      </c>
      <c r="C27" s="4" t="s">
        <v>18</v>
      </c>
      <c r="D2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7" s="27" t="str">
        <f>IFERROR(VLOOKUP(B27,IF(IFERROR(VLOOKUP(B27,'&gt; Women &lt;'!$D$7:$F$1014,2,0),0)&gt;1,'&gt; Women &lt;'!$D$7:$H$1014,'&gt; Open &lt;'!$D$7:$H$1044),3,0)," ")</f>
        <v xml:space="preserve"> </v>
      </c>
      <c r="F27" s="109">
        <f>SUM(G27:J27)</f>
        <v>910</v>
      </c>
      <c r="G27" s="109" t="str">
        <f>IFERROR(VLOOKUP(Mixed[[#This Row],[SM PO MI Rang]],$P$15:$Q$110,2,0)*G$5,"")</f>
        <v/>
      </c>
      <c r="H27" s="109">
        <f>IFERROR(VLOOKUP(Mixed[[#This Row],[TS SH MI Rang]],$P$15:$Q$110,2,0)*H$5,"")</f>
        <v>910</v>
      </c>
      <c r="I27" s="109" t="str">
        <f>IFERROR(VLOOKUP(Mixed[[#This Row],[TS BE MI Rang]],$P$15:$Q$110,2,0)*I$5,"")</f>
        <v/>
      </c>
      <c r="J27" s="109" t="str">
        <f>IFERROR(VLOOKUP(Mixed[[#This Row],[TS BA Mi 07.05.22 Rang]],$P$15:$Q$110,2,0)*J$5,"")</f>
        <v/>
      </c>
      <c r="K27" s="65" t="s">
        <v>434</v>
      </c>
      <c r="L27" s="85">
        <v>4</v>
      </c>
      <c r="M27" s="77" t="s">
        <v>434</v>
      </c>
      <c r="N27" s="214"/>
      <c r="P27" s="155">
        <v>12</v>
      </c>
      <c r="Q27" s="155">
        <v>100</v>
      </c>
      <c r="R27" s="17"/>
      <c r="S27" s="17"/>
      <c r="T27" s="17"/>
      <c r="U27" s="17"/>
      <c r="V27" s="17"/>
      <c r="W27" s="17"/>
      <c r="X27" s="11"/>
      <c r="Y27" s="11"/>
      <c r="Z27" s="11"/>
      <c r="AA27" s="11"/>
      <c r="AB27" s="11"/>
    </row>
    <row r="28" spans="1:28" x14ac:dyDescent="0.2">
      <c r="A28" s="34">
        <f>RANK(F28,$F$7:$F$172,0)</f>
        <v>21</v>
      </c>
      <c r="B28" s="3" t="s">
        <v>299</v>
      </c>
      <c r="C28" s="6" t="s">
        <v>18</v>
      </c>
      <c r="D2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8" s="27" t="str">
        <f>IFERROR(VLOOKUP(B28,IF(IFERROR(VLOOKUP(B28,'&gt; Women &lt;'!$D$7:$F$1014,2,0),0)&gt;1,'&gt; Women &lt;'!$D$7:$H$1014,'&gt; Open &lt;'!$D$7:$H$1044),3,0)," ")</f>
        <v xml:space="preserve"> </v>
      </c>
      <c r="F28" s="110">
        <f>SUM(G28:J28)</f>
        <v>910</v>
      </c>
      <c r="G28" s="110" t="str">
        <f>IFERROR(VLOOKUP(Mixed[[#This Row],[SM PO MI Rang]],$P$15:$Q$110,2,0)*G$5,"")</f>
        <v/>
      </c>
      <c r="H28" s="110">
        <f>IFERROR(VLOOKUP(Mixed[[#This Row],[TS SH MI Rang]],$P$15:$Q$110,2,0)*H$5,"")</f>
        <v>910</v>
      </c>
      <c r="I28" s="110" t="str">
        <f>IFERROR(VLOOKUP(Mixed[[#This Row],[TS BE MI Rang]],$P$15:$Q$110,2,0)*I$5,"")</f>
        <v/>
      </c>
      <c r="J28" s="109" t="str">
        <f>IFERROR(VLOOKUP(Mixed[[#This Row],[TS BA Mi 07.05.22 Rang]],$P$15:$Q$110,2,0)*J$5,"")</f>
        <v/>
      </c>
      <c r="K28" s="65" t="s">
        <v>434</v>
      </c>
      <c r="L28" s="85">
        <v>4</v>
      </c>
      <c r="M28" s="68" t="s">
        <v>434</v>
      </c>
      <c r="N28" s="213"/>
      <c r="P28" s="155">
        <v>13</v>
      </c>
      <c r="Q28" s="155">
        <v>100</v>
      </c>
      <c r="R28" s="17"/>
      <c r="S28" s="17"/>
      <c r="T28" s="17"/>
      <c r="U28" s="17"/>
      <c r="V28" s="17"/>
      <c r="W28" s="17"/>
      <c r="X28" s="11"/>
      <c r="Y28" s="11"/>
      <c r="Z28" s="11"/>
      <c r="AA28" s="11"/>
      <c r="AB28" s="11"/>
    </row>
    <row r="29" spans="1:28" x14ac:dyDescent="0.2">
      <c r="A29" s="11">
        <f>RANK(F29,$F$7:$F$172,0)</f>
        <v>23</v>
      </c>
      <c r="B29" s="31" t="s">
        <v>28</v>
      </c>
      <c r="C29" s="9" t="s">
        <v>0</v>
      </c>
      <c r="D2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29" s="27">
        <f>IFERROR(VLOOKUP(B29,IF(IFERROR(VLOOKUP(B29,'&gt; Women &lt;'!$D$7:$F$1014,2,0),0)&gt;1,'&gt; Women &lt;'!$D$7:$H$1014,'&gt; Open &lt;'!$D$7:$H$1044),3,0)," ")</f>
        <v>859.4</v>
      </c>
      <c r="F29" s="109">
        <f>SUM(G29:J29)</f>
        <v>857.1</v>
      </c>
      <c r="G29" s="171">
        <f>IFERROR(VLOOKUP(Mixed[[#This Row],[SM PO MI Rang]],$P$15:$Q$110,2,0)*G$5,"")</f>
        <v>485.1</v>
      </c>
      <c r="H29" s="171">
        <f>IFERROR(VLOOKUP(Mixed[[#This Row],[TS SH MI Rang]],$P$15:$Q$110,2,0)*H$5,"")</f>
        <v>182</v>
      </c>
      <c r="I29" s="109">
        <f>IFERROR(VLOOKUP(Mixed[[#This Row],[TS BE MI Rang]],$P$15:$Q$110,2,0)*I$5,"")</f>
        <v>190</v>
      </c>
      <c r="J29" s="109" t="str">
        <f>IFERROR(VLOOKUP(Mixed[[#This Row],[TS BA Mi 07.05.22 Rang]],$P$15:$Q$110,2,0)*J$5,"")</f>
        <v/>
      </c>
      <c r="K29" s="75">
        <v>6</v>
      </c>
      <c r="L29" s="70">
        <v>12</v>
      </c>
      <c r="M29" s="69">
        <v>15</v>
      </c>
      <c r="N29" s="213"/>
      <c r="P29" s="155">
        <v>14</v>
      </c>
      <c r="Q29" s="155">
        <v>100</v>
      </c>
      <c r="R29" s="17"/>
      <c r="S29" s="17"/>
      <c r="T29" s="17"/>
      <c r="U29" s="17"/>
      <c r="V29" s="17"/>
      <c r="W29" s="17"/>
      <c r="X29" s="11"/>
      <c r="Y29" s="11"/>
      <c r="Z29" s="11"/>
      <c r="AA29" s="11"/>
      <c r="AB29" s="11"/>
    </row>
    <row r="30" spans="1:28" x14ac:dyDescent="0.2">
      <c r="A30" s="11">
        <f>RANK(F30,$F$7:$F$172,0)</f>
        <v>24</v>
      </c>
      <c r="B30" s="32" t="s">
        <v>42</v>
      </c>
      <c r="C30" s="9" t="s">
        <v>10</v>
      </c>
      <c r="D3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0" s="27">
        <f>IFERROR(VLOOKUP(B30,IF(IFERROR(VLOOKUP(B30,'&gt; Women &lt;'!$D$7:$F$1014,2,0),0)&gt;1,'&gt; Women &lt;'!$D$7:$H$1014,'&gt; Open &lt;'!$D$7:$H$1044),3,0)," ")</f>
        <v>151</v>
      </c>
      <c r="F30" s="109">
        <f>SUM(G30:J30)</f>
        <v>804.3</v>
      </c>
      <c r="G30" s="171">
        <f>IFERROR(VLOOKUP(Mixed[[#This Row],[SM PO MI Rang]],$P$15:$Q$110,2,0)*G$5,"")</f>
        <v>396</v>
      </c>
      <c r="H30" s="109">
        <f>IFERROR(VLOOKUP(Mixed[[#This Row],[TS SH MI Rang]],$P$15:$Q$110,2,0)*H$5,"")</f>
        <v>182</v>
      </c>
      <c r="I30" s="109" t="str">
        <f>IFERROR(VLOOKUP(Mixed[[#This Row],[TS BE MI Rang]],$P$15:$Q$110,2,0)*I$5,"")</f>
        <v/>
      </c>
      <c r="J30" s="109">
        <f>IFERROR(VLOOKUP(Mixed[[#This Row],[TS BA Mi 07.05.22 Rang]],$P$15:$Q$110,2,0)*J$5,"")</f>
        <v>226.29999999999998</v>
      </c>
      <c r="K30" s="65">
        <v>7</v>
      </c>
      <c r="L30" s="65">
        <v>9</v>
      </c>
      <c r="M30" s="68" t="s">
        <v>434</v>
      </c>
      <c r="N30" s="213">
        <v>8</v>
      </c>
      <c r="P30" s="155">
        <v>15</v>
      </c>
      <c r="Q30" s="155">
        <v>100</v>
      </c>
      <c r="R30" s="17"/>
      <c r="S30" s="17"/>
      <c r="T30" s="17"/>
      <c r="U30" s="17"/>
      <c r="V30" s="17"/>
      <c r="W30" s="17"/>
      <c r="X30" s="11"/>
      <c r="Y30" s="11"/>
      <c r="Z30" s="11"/>
      <c r="AA30" s="11"/>
      <c r="AB30" s="11"/>
    </row>
    <row r="31" spans="1:28" x14ac:dyDescent="0.2">
      <c r="A31" s="34">
        <f>RANK(F31,$F$7:$F$172,0)</f>
        <v>25</v>
      </c>
      <c r="B31" s="31" t="s">
        <v>85</v>
      </c>
      <c r="C31" s="9" t="s">
        <v>10</v>
      </c>
      <c r="D3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1" s="27">
        <f>IFERROR(VLOOKUP(B31,IF(IFERROR(VLOOKUP(B31,'&gt; Women &lt;'!$D$7:$F$1014,2,0),0)&gt;1,'&gt; Women &lt;'!$D$7:$H$1014,'&gt; Open &lt;'!$D$7:$H$1044),3,0)," ")</f>
        <v>256.60000000000002</v>
      </c>
      <c r="F31" s="110">
        <f>SUM(G31:J31)</f>
        <v>724</v>
      </c>
      <c r="G31" s="110">
        <f>IFERROR(VLOOKUP(Mixed[[#This Row],[SM PO MI Rang]],$P$15:$Q$110,2,0)*G$5,"")</f>
        <v>396</v>
      </c>
      <c r="H31" s="110">
        <f>IFERROR(VLOOKUP(Mixed[[#This Row],[TS SH MI Rang]],$P$15:$Q$110,2,0)*H$5,"")</f>
        <v>182</v>
      </c>
      <c r="I31" s="110" t="str">
        <f>IFERROR(VLOOKUP(Mixed[[#This Row],[TS BE MI Rang]],$P$15:$Q$110,2,0)*I$5,"")</f>
        <v/>
      </c>
      <c r="J31" s="109">
        <f>IFERROR(VLOOKUP(Mixed[[#This Row],[TS BA Mi 07.05.22 Rang]],$P$15:$Q$110,2,0)*J$5,"")</f>
        <v>146</v>
      </c>
      <c r="K31" s="65">
        <v>7</v>
      </c>
      <c r="L31" s="65">
        <v>9</v>
      </c>
      <c r="M31" s="68" t="s">
        <v>434</v>
      </c>
      <c r="N31" s="213">
        <v>12</v>
      </c>
      <c r="P31" s="155">
        <v>16</v>
      </c>
      <c r="Q31" s="155">
        <v>100</v>
      </c>
      <c r="R31" s="17"/>
      <c r="S31" s="17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7" x14ac:dyDescent="0.2">
      <c r="A32" s="11">
        <f>RANK(F32,$F$7:$F$172,0)</f>
        <v>26</v>
      </c>
      <c r="B32" s="30" t="s">
        <v>160</v>
      </c>
      <c r="C32" s="1" t="s">
        <v>206</v>
      </c>
      <c r="D3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2" s="27">
        <f>IFERROR(VLOOKUP(B32,IF(IFERROR(VLOOKUP(B32,'&gt; Women &lt;'!$D$7:$F$1014,2,0),0)&gt;1,'&gt; Women &lt;'!$D$7:$H$1014,'&gt; Open &lt;'!$D$7:$H$1044),3,0)," ")</f>
        <v>839.90000000000009</v>
      </c>
      <c r="F32" s="109">
        <f>SUM(G32:J32)</f>
        <v>578</v>
      </c>
      <c r="G32" s="109">
        <f>IFERROR(VLOOKUP(Mixed[[#This Row],[SM PO MI Rang]],$P$15:$Q$110,2,0)*G$5,"")</f>
        <v>198</v>
      </c>
      <c r="H32" s="171" t="str">
        <f>IFERROR(VLOOKUP(Mixed[[#This Row],[TS SH MI Rang]],$P$15:$Q$110,2,0)*H$5,"")</f>
        <v/>
      </c>
      <c r="I32" s="109">
        <f>IFERROR(VLOOKUP(Mixed[[#This Row],[TS BE MI Rang]],$P$15:$Q$110,2,0)*I$5,"")</f>
        <v>380</v>
      </c>
      <c r="J32" s="109" t="str">
        <f>IFERROR(VLOOKUP(Mixed[[#This Row],[TS BA Mi 07.05.22 Rang]],$P$15:$Q$110,2,0)*J$5,"")</f>
        <v/>
      </c>
      <c r="K32" s="78">
        <v>14</v>
      </c>
      <c r="L32" s="65" t="s">
        <v>434</v>
      </c>
      <c r="M32" s="80">
        <v>7</v>
      </c>
      <c r="N32" s="214"/>
      <c r="O32" s="41"/>
      <c r="P32" s="163">
        <v>17</v>
      </c>
      <c r="Q32" s="163">
        <v>30</v>
      </c>
      <c r="R32" s="161"/>
      <c r="S32" s="16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x14ac:dyDescent="0.2">
      <c r="A33" s="34">
        <f>RANK(F33,$F$7:$F$172,0)</f>
        <v>27</v>
      </c>
      <c r="B33" s="2" t="s">
        <v>148</v>
      </c>
      <c r="C33" s="33" t="s">
        <v>0</v>
      </c>
      <c r="D3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3" s="27">
        <f>IFERROR(VLOOKUP(B33,IF(IFERROR(VLOOKUP(B33,'&gt; Women &lt;'!$D$7:$F$1014,2,0),0)&gt;1,'&gt; Women &lt;'!$D$7:$H$1014,'&gt; Open &lt;'!$D$7:$H$1044),3,0)," ")</f>
        <v>560</v>
      </c>
      <c r="F33" s="110">
        <f>SUM(G33:J33)</f>
        <v>541.4</v>
      </c>
      <c r="G33" s="110">
        <f>IFERROR(VLOOKUP(Mixed[[#This Row],[SM PO MI Rang]],$P$15:$Q$110,2,0)*G$5,"")</f>
        <v>59.4</v>
      </c>
      <c r="H33" s="110" t="str">
        <f>IFERROR(VLOOKUP(Mixed[[#This Row],[TS SH MI Rang]],$P$15:$Q$110,2,0)*H$5,"")</f>
        <v/>
      </c>
      <c r="I33" s="110">
        <f>IFERROR(VLOOKUP(Mixed[[#This Row],[TS BE MI Rang]],$P$15:$Q$110,2,0)*I$5,"")</f>
        <v>190</v>
      </c>
      <c r="J33" s="109">
        <f>IFERROR(VLOOKUP(Mixed[[#This Row],[TS BA Mi 07.05.22 Rang]],$P$15:$Q$110,2,0)*J$5,"")</f>
        <v>292</v>
      </c>
      <c r="K33" s="65">
        <v>26</v>
      </c>
      <c r="L33" s="65" t="s">
        <v>434</v>
      </c>
      <c r="M33" s="68">
        <v>15</v>
      </c>
      <c r="N33" s="213">
        <v>7</v>
      </c>
      <c r="P33" s="155">
        <v>18</v>
      </c>
      <c r="Q33" s="155">
        <v>30</v>
      </c>
      <c r="R33" s="17"/>
      <c r="S33" s="17"/>
      <c r="T33" s="10" t="s">
        <v>3</v>
      </c>
      <c r="U33" s="10"/>
      <c r="V33" s="10"/>
      <c r="W33" s="10"/>
      <c r="X33" s="11"/>
      <c r="Y33" s="11"/>
      <c r="Z33" s="11"/>
      <c r="AA33" s="11"/>
      <c r="AB33" s="11"/>
    </row>
    <row r="34" spans="1:28" x14ac:dyDescent="0.2">
      <c r="A34" s="11">
        <f>RANK(F34,$F$7:$F$172,0)</f>
        <v>28</v>
      </c>
      <c r="B34" s="25" t="s">
        <v>302</v>
      </c>
      <c r="C34" s="4" t="s">
        <v>18</v>
      </c>
      <c r="D3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4" s="27" t="str">
        <f>IFERROR(VLOOKUP(B34,IF(IFERROR(VLOOKUP(B34,'&gt; Women &lt;'!$D$7:$F$1014,2,0),0)&gt;1,'&gt; Women &lt;'!$D$7:$H$1014,'&gt; Open &lt;'!$D$7:$H$1044),3,0)," ")</f>
        <v xml:space="preserve"> </v>
      </c>
      <c r="F34" s="109">
        <f>SUM(G34:J34)</f>
        <v>527.80000000000007</v>
      </c>
      <c r="G34" s="109" t="str">
        <f>IFERROR(VLOOKUP(Mixed[[#This Row],[SM PO MI Rang]],$P$15:$Q$110,2,0)*G$5,"")</f>
        <v/>
      </c>
      <c r="H34" s="109">
        <f>IFERROR(VLOOKUP(Mixed[[#This Row],[TS SH MI Rang]],$P$15:$Q$110,2,0)*H$5,"")</f>
        <v>527.80000000000007</v>
      </c>
      <c r="I34" s="109" t="str">
        <f>IFERROR(VLOOKUP(Mixed[[#This Row],[TS BE MI Rang]],$P$15:$Q$110,2,0)*I$5,"")</f>
        <v/>
      </c>
      <c r="J34" s="109" t="str">
        <f>IFERROR(VLOOKUP(Mixed[[#This Row],[TS BA Mi 07.05.22 Rang]],$P$15:$Q$110,2,0)*J$5,"")</f>
        <v/>
      </c>
      <c r="K34" s="65" t="s">
        <v>434</v>
      </c>
      <c r="L34" s="85">
        <v>5</v>
      </c>
      <c r="M34" s="68" t="s">
        <v>434</v>
      </c>
      <c r="N34" s="213"/>
      <c r="O34" s="41"/>
      <c r="P34" s="163">
        <v>19</v>
      </c>
      <c r="Q34" s="163">
        <v>30</v>
      </c>
      <c r="R34" s="161"/>
      <c r="S34" s="161"/>
      <c r="T34" s="148" t="s">
        <v>5</v>
      </c>
      <c r="U34" s="148" t="s">
        <v>4</v>
      </c>
      <c r="V34" s="189" t="s">
        <v>29</v>
      </c>
      <c r="W34" s="148" t="s">
        <v>6</v>
      </c>
      <c r="X34" s="11"/>
      <c r="Y34" s="11"/>
      <c r="Z34" s="11"/>
      <c r="AA34" s="11"/>
      <c r="AB34" s="11"/>
    </row>
    <row r="35" spans="1:28" x14ac:dyDescent="0.2">
      <c r="A35" s="34">
        <f>RANK(F35,$F$7:$F$172,0)</f>
        <v>28</v>
      </c>
      <c r="B35" s="3" t="s">
        <v>301</v>
      </c>
      <c r="C35" s="6" t="s">
        <v>18</v>
      </c>
      <c r="D3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5" s="27" t="str">
        <f>IFERROR(VLOOKUP(B35,IF(IFERROR(VLOOKUP(B35,'&gt; Women &lt;'!$D$7:$F$1014,2,0),0)&gt;1,'&gt; Women &lt;'!$D$7:$H$1014,'&gt; Open &lt;'!$D$7:$H$1044),3,0)," ")</f>
        <v xml:space="preserve"> </v>
      </c>
      <c r="F35" s="110">
        <f>SUM(G35:J35)</f>
        <v>527.80000000000007</v>
      </c>
      <c r="G35" s="110" t="str">
        <f>IFERROR(VLOOKUP(Mixed[[#This Row],[SM PO MI Rang]],$P$15:$Q$110,2,0)*G$5,"")</f>
        <v/>
      </c>
      <c r="H35" s="110">
        <f>IFERROR(VLOOKUP(Mixed[[#This Row],[TS SH MI Rang]],$P$15:$Q$110,2,0)*H$5,"")</f>
        <v>527.80000000000007</v>
      </c>
      <c r="I35" s="110" t="str">
        <f>IFERROR(VLOOKUP(Mixed[[#This Row],[TS BE MI Rang]],$P$15:$Q$110,2,0)*I$5,"")</f>
        <v/>
      </c>
      <c r="J35" s="109" t="str">
        <f>IFERROR(VLOOKUP(Mixed[[#This Row],[TS BA Mi 07.05.22 Rang]],$P$15:$Q$110,2,0)*J$5,"")</f>
        <v/>
      </c>
      <c r="K35" s="65" t="s">
        <v>434</v>
      </c>
      <c r="L35" s="85">
        <v>5</v>
      </c>
      <c r="M35" s="68" t="s">
        <v>434</v>
      </c>
      <c r="N35" s="213"/>
      <c r="P35" s="155">
        <v>20</v>
      </c>
      <c r="Q35" s="155">
        <v>30</v>
      </c>
      <c r="R35" s="17"/>
      <c r="S35" s="17"/>
      <c r="T35" s="17">
        <f>RANK(Club_Ranking_Mixed[[#This Row],[Punkte]],$W$35:$W$47,0)</f>
        <v>1</v>
      </c>
      <c r="U35" s="17" t="s">
        <v>0</v>
      </c>
      <c r="V35" s="17">
        <f>COUNTIF(Mixed[Club],Club_Ranking_Mixed[[#This Row],[Club]])</f>
        <v>33</v>
      </c>
      <c r="W35" s="17">
        <f>SUMIF(Mixed[Club],Club_Ranking_Mixed[[#This Row],[Club]],Mixed[CR Punkte])</f>
        <v>31874.600000000006</v>
      </c>
      <c r="X35" s="11"/>
      <c r="Y35" s="11"/>
      <c r="Z35" s="11"/>
      <c r="AA35" s="11"/>
      <c r="AB35" s="11"/>
    </row>
    <row r="36" spans="1:28" x14ac:dyDescent="0.2">
      <c r="A36" s="11">
        <f>RANK(F36,$F$7:$F$172,0)</f>
        <v>30</v>
      </c>
      <c r="B36" s="25" t="s">
        <v>313</v>
      </c>
      <c r="C36" s="29" t="s">
        <v>7</v>
      </c>
      <c r="D3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6" s="27">
        <f>IFERROR(VLOOKUP(B36,IF(IFERROR(VLOOKUP(B36,'&gt; Women &lt;'!$D$7:$F$1014,2,0),0)&gt;1,'&gt; Women &lt;'!$D$7:$H$1014,'&gt; Open &lt;'!$D$7:$H$1044),3,0)," ")</f>
        <v>122.80000000000001</v>
      </c>
      <c r="F36" s="109">
        <f>SUM(G36:J36)</f>
        <v>520.1</v>
      </c>
      <c r="G36" s="109" t="str">
        <f>IFERROR(VLOOKUP(Mixed[[#This Row],[SM PO MI Rang]],$P$15:$Q$110,2,0)*G$5,"")</f>
        <v/>
      </c>
      <c r="H36" s="109">
        <f>IFERROR(VLOOKUP(Mixed[[#This Row],[TS SH MI Rang]],$P$15:$Q$110,2,0)*H$5,"")</f>
        <v>54.6</v>
      </c>
      <c r="I36" s="109">
        <f>IFERROR(VLOOKUP(Mixed[[#This Row],[TS BE MI Rang]],$P$15:$Q$110,2,0)*I$5,"")</f>
        <v>465.5</v>
      </c>
      <c r="J36" s="109" t="str">
        <f>IFERROR(VLOOKUP(Mixed[[#This Row],[TS BA Mi 07.05.22 Rang]],$P$15:$Q$110,2,0)*J$5,"")</f>
        <v/>
      </c>
      <c r="K36" s="65" t="s">
        <v>434</v>
      </c>
      <c r="L36" s="65">
        <v>19</v>
      </c>
      <c r="M36" s="77">
        <v>6</v>
      </c>
      <c r="N36" s="214"/>
      <c r="P36" s="155">
        <v>21</v>
      </c>
      <c r="Q36" s="155">
        <v>30</v>
      </c>
      <c r="R36" s="17"/>
      <c r="S36" s="17"/>
      <c r="T36" s="17">
        <f>RANK(Club_Ranking_Mixed[[#This Row],[Punkte]],$W$35:$W$47,0)</f>
        <v>2</v>
      </c>
      <c r="U36" s="17" t="s">
        <v>18</v>
      </c>
      <c r="V36" s="17">
        <f>COUNTIF(Mixed[Club],Club_Ranking_Mixed[[#This Row],[Club]])</f>
        <v>16</v>
      </c>
      <c r="W36" s="17">
        <f>SUMIF(Mixed[Club],Club_Ranking_Mixed[[#This Row],[Club]],Mixed[CR Punkte])</f>
        <v>11307</v>
      </c>
      <c r="X36" s="11"/>
      <c r="Y36" s="11"/>
      <c r="Z36" s="11"/>
      <c r="AA36" s="11"/>
      <c r="AB36" s="11"/>
    </row>
    <row r="37" spans="1:28" x14ac:dyDescent="0.2">
      <c r="A37" s="11">
        <f>RANK(F37,$F$7:$F$172,0)</f>
        <v>31</v>
      </c>
      <c r="B37" s="31" t="s">
        <v>20</v>
      </c>
      <c r="C37" s="9" t="s">
        <v>0</v>
      </c>
      <c r="D3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7" s="27">
        <f>IFERROR(VLOOKUP(B37,IF(IFERROR(VLOOKUP(B37,'&gt; Women &lt;'!$D$7:$F$1014,2,0),0)&gt;1,'&gt; Women &lt;'!$D$7:$H$1014,'&gt; Open &lt;'!$D$7:$H$1044),3,0)," ")</f>
        <v>3814</v>
      </c>
      <c r="F37" s="109">
        <f>SUM(G37:J37)</f>
        <v>485.1</v>
      </c>
      <c r="G37" s="109">
        <f>IFERROR(VLOOKUP(Mixed[[#This Row],[SM PO MI Rang]],$P$15:$Q$110,2,0)*G$5,"")</f>
        <v>485.1</v>
      </c>
      <c r="H37" s="109" t="str">
        <f>IFERROR(VLOOKUP(Mixed[[#This Row],[TS SH MI Rang]],$P$15:$Q$110,2,0)*H$5,"")</f>
        <v/>
      </c>
      <c r="I37" s="109" t="str">
        <f>IFERROR(VLOOKUP(Mixed[[#This Row],[TS BE MI Rang]],$P$15:$Q$110,2,0)*I$5,"")</f>
        <v/>
      </c>
      <c r="J37" s="109" t="str">
        <f>IFERROR(VLOOKUP(Mixed[[#This Row],[TS BA Mi 07.05.22 Rang]],$P$15:$Q$110,2,0)*J$5,"")</f>
        <v/>
      </c>
      <c r="K37" s="64">
        <v>6</v>
      </c>
      <c r="L37" s="65" t="s">
        <v>434</v>
      </c>
      <c r="M37" s="68" t="s">
        <v>434</v>
      </c>
      <c r="N37" s="213"/>
      <c r="P37" s="155">
        <v>22</v>
      </c>
      <c r="Q37" s="155">
        <v>30</v>
      </c>
      <c r="R37" s="17"/>
      <c r="S37" s="17"/>
      <c r="T37" s="17">
        <f>RANK(Club_Ranking_Mixed[[#This Row],[Punkte]],$W$35:$W$47,0)</f>
        <v>3</v>
      </c>
      <c r="U37" s="17" t="s">
        <v>13</v>
      </c>
      <c r="V37" s="17">
        <f>COUNTIF(Mixed[Club],Club_Ranking_Mixed[[#This Row],[Club]])</f>
        <v>9</v>
      </c>
      <c r="W37" s="17">
        <f>SUMIF(Mixed[Club],Club_Ranking_Mixed[[#This Row],[Club]],Mixed[CR Punkte])</f>
        <v>7528.7999999999993</v>
      </c>
      <c r="X37" s="11"/>
      <c r="Y37" s="11"/>
      <c r="Z37" s="11"/>
      <c r="AA37" s="11"/>
      <c r="AB37" s="11"/>
    </row>
    <row r="38" spans="1:28" x14ac:dyDescent="0.2">
      <c r="A38" s="34">
        <f>RANK(F38,$F$7:$F$172,0)</f>
        <v>32</v>
      </c>
      <c r="B38" s="13" t="s">
        <v>142</v>
      </c>
      <c r="C38" s="13" t="s">
        <v>0</v>
      </c>
      <c r="D3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8" s="27">
        <f>IFERROR(VLOOKUP(B38,IF(IFERROR(VLOOKUP(B38,'&gt; Women &lt;'!$D$7:$F$1014,2,0),0)&gt;1,'&gt; Women &lt;'!$D$7:$H$1014,'&gt; Open &lt;'!$D$7:$H$1044),3,0)," ")</f>
        <v>452.9</v>
      </c>
      <c r="F38" s="110">
        <f>SUM(G38:J38)</f>
        <v>476.5</v>
      </c>
      <c r="G38" s="110" t="str">
        <f>IFERROR(VLOOKUP(Mixed[[#This Row],[SM PO MI Rang]],$P$15:$Q$110,2,0)*G$5,"")</f>
        <v/>
      </c>
      <c r="H38" s="110">
        <f>IFERROR(VLOOKUP(Mixed[[#This Row],[TS SH MI Rang]],$P$15:$Q$110,2,0)*H$5,"")</f>
        <v>182</v>
      </c>
      <c r="I38" s="110">
        <f>IFERROR(VLOOKUP(Mixed[[#This Row],[TS BE MI Rang]],$P$15:$Q$110,2,0)*I$5,"")</f>
        <v>294.5</v>
      </c>
      <c r="J38" s="109" t="str">
        <f>IFERROR(VLOOKUP(Mixed[[#This Row],[TS BA Mi 07.05.22 Rang]],$P$15:$Q$110,2,0)*J$5,"")</f>
        <v/>
      </c>
      <c r="K38" s="65" t="s">
        <v>434</v>
      </c>
      <c r="L38" s="70">
        <v>16</v>
      </c>
      <c r="M38" s="72">
        <v>8</v>
      </c>
      <c r="N38" s="213"/>
      <c r="P38" s="155">
        <v>23</v>
      </c>
      <c r="Q38" s="155">
        <v>30</v>
      </c>
      <c r="R38" s="17"/>
      <c r="S38" s="17"/>
      <c r="T38" s="17">
        <f>RANK(Club_Ranking_Mixed[[#This Row],[Punkte]],$W$35:$W$47,0)</f>
        <v>4</v>
      </c>
      <c r="U38" s="17" t="s">
        <v>10</v>
      </c>
      <c r="V38" s="17">
        <f>COUNTIF(Mixed[Club],Club_Ranking_Mixed[[#This Row],[Club]])</f>
        <v>21</v>
      </c>
      <c r="W38" s="17">
        <f>SUMIF(Mixed[Club],Club_Ranking_Mixed[[#This Row],[Club]],Mixed[CR Punkte])</f>
        <v>5345.5999999999985</v>
      </c>
      <c r="X38" s="11"/>
      <c r="Y38" s="11"/>
      <c r="Z38" s="11"/>
      <c r="AA38" s="11"/>
      <c r="AB38" s="11"/>
    </row>
    <row r="39" spans="1:28" x14ac:dyDescent="0.2">
      <c r="A39" s="34">
        <f>RANK(F39,$F$7:$F$172,0)</f>
        <v>33</v>
      </c>
      <c r="B39" s="31" t="s">
        <v>25</v>
      </c>
      <c r="C39" s="11" t="s">
        <v>7</v>
      </c>
      <c r="D3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39" s="27">
        <f>IFERROR(VLOOKUP(B39,IF(IFERROR(VLOOKUP(B39,'&gt; Women &lt;'!$D$7:$F$1014,2,0),0)&gt;1,'&gt; Women &lt;'!$D$7:$H$1014,'&gt; Open &lt;'!$D$7:$H$1044),3,0)," ")</f>
        <v>1822.4</v>
      </c>
      <c r="F39" s="110">
        <f>SUM(G39:J39)</f>
        <v>465.5</v>
      </c>
      <c r="G39" s="110" t="str">
        <f>IFERROR(VLOOKUP(Mixed[[#This Row],[SM PO MI Rang]],$P$15:$Q$110,2,0)*G$5,"")</f>
        <v/>
      </c>
      <c r="H39" s="110" t="str">
        <f>IFERROR(VLOOKUP(Mixed[[#This Row],[TS SH MI Rang]],$P$15:$Q$110,2,0)*H$5,"")</f>
        <v/>
      </c>
      <c r="I39" s="110">
        <f>IFERROR(VLOOKUP(Mixed[[#This Row],[TS BE MI Rang]],$P$15:$Q$110,2,0)*I$5,"")</f>
        <v>465.5</v>
      </c>
      <c r="J39" s="109" t="str">
        <f>IFERROR(VLOOKUP(Mixed[[#This Row],[TS BA Mi 07.05.22 Rang]],$P$15:$Q$110,2,0)*J$5,"")</f>
        <v/>
      </c>
      <c r="K39" s="65" t="s">
        <v>434</v>
      </c>
      <c r="L39" s="65" t="s">
        <v>434</v>
      </c>
      <c r="M39" s="69">
        <v>6</v>
      </c>
      <c r="N39" s="213"/>
      <c r="P39" s="155">
        <v>24</v>
      </c>
      <c r="Q39" s="155">
        <v>30</v>
      </c>
      <c r="R39" s="17"/>
      <c r="S39" s="17"/>
      <c r="T39" s="17">
        <f>RANK(Club_Ranking_Mixed[[#This Row],[Punkte]],$W$35:$W$47,0)</f>
        <v>5</v>
      </c>
      <c r="U39" s="17" t="s">
        <v>12</v>
      </c>
      <c r="V39" s="17">
        <f>COUNTIF(Mixed[Club],Club_Ranking_Mixed[[#This Row],[Club]])</f>
        <v>6</v>
      </c>
      <c r="W39" s="17">
        <f>SUMIF(Mixed[Club],Club_Ranking_Mixed[[#This Row],[Club]],Mixed[CR Punkte])</f>
        <v>4868</v>
      </c>
      <c r="X39" s="11"/>
      <c r="Y39" s="11"/>
      <c r="Z39" s="11"/>
      <c r="AA39" s="11"/>
      <c r="AB39" s="11"/>
    </row>
    <row r="40" spans="1:28" x14ac:dyDescent="0.2">
      <c r="A40" s="34">
        <f>RANK(F40,$F$7:$F$172,0)</f>
        <v>34</v>
      </c>
      <c r="B40" s="31" t="s">
        <v>64</v>
      </c>
      <c r="C40" s="9" t="s">
        <v>7</v>
      </c>
      <c r="D4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0" s="27">
        <f>IFERROR(VLOOKUP(B40,IF(IFERROR(VLOOKUP(B40,'&gt; Women &lt;'!$D$7:$F$1014,2,0),0)&gt;1,'&gt; Women &lt;'!$D$7:$H$1014,'&gt; Open &lt;'!$D$7:$H$1044),3,0)," ")</f>
        <v>1518.8000000000002</v>
      </c>
      <c r="F40" s="110">
        <f>SUM(G40:J40)</f>
        <v>434.6</v>
      </c>
      <c r="G40" s="110" t="str">
        <f>IFERROR(VLOOKUP(Mixed[[#This Row],[SM PO MI Rang]],$P$15:$Q$110,2,0)*G$5,"")</f>
        <v/>
      </c>
      <c r="H40" s="110">
        <f>IFERROR(VLOOKUP(Mixed[[#This Row],[TS SH MI Rang]],$P$15:$Q$110,2,0)*H$5,"")</f>
        <v>54.6</v>
      </c>
      <c r="I40" s="110">
        <f>IFERROR(VLOOKUP(Mixed[[#This Row],[TS BE MI Rang]],$P$15:$Q$110,2,0)*I$5,"")</f>
        <v>380</v>
      </c>
      <c r="J40" s="109" t="str">
        <f>IFERROR(VLOOKUP(Mixed[[#This Row],[TS BA Mi 07.05.22 Rang]],$P$15:$Q$110,2,0)*J$5,"")</f>
        <v/>
      </c>
      <c r="K40" s="65" t="s">
        <v>434</v>
      </c>
      <c r="L40" s="70">
        <v>19</v>
      </c>
      <c r="M40" s="72">
        <v>7</v>
      </c>
      <c r="N40" s="213"/>
      <c r="P40" s="155">
        <v>25</v>
      </c>
      <c r="Q40" s="155">
        <v>30</v>
      </c>
      <c r="R40" s="17"/>
      <c r="S40" s="17"/>
      <c r="T40" s="17">
        <f>RANK(Club_Ranking_Mixed[[#This Row],[Punkte]],$W$35:$W$47,0)</f>
        <v>6</v>
      </c>
      <c r="U40" s="17" t="s">
        <v>8</v>
      </c>
      <c r="V40" s="17">
        <f>COUNTIF(Mixed[Club],Club_Ranking_Mixed[[#This Row],[Club]])</f>
        <v>7</v>
      </c>
      <c r="W40" s="17">
        <f>SUMIF(Mixed[Club],Club_Ranking_Mixed[[#This Row],[Club]],Mixed[CR Punkte])</f>
        <v>4151.2000000000007</v>
      </c>
      <c r="X40" s="11"/>
      <c r="Y40" s="11"/>
      <c r="Z40" s="11"/>
      <c r="AA40" s="11"/>
      <c r="AB40" s="11"/>
    </row>
    <row r="41" spans="1:28" x14ac:dyDescent="0.2">
      <c r="A41" s="34">
        <f>RANK(F41,$F$7:$F$172,0)</f>
        <v>35</v>
      </c>
      <c r="B41" s="31" t="s">
        <v>55</v>
      </c>
      <c r="C41" s="11" t="s">
        <v>10</v>
      </c>
      <c r="D4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1" s="27">
        <f>IFERROR(VLOOKUP(B41,IF(IFERROR(VLOOKUP(B41,'&gt; Women &lt;'!$D$7:$F$1014,2,0),0)&gt;1,'&gt; Women &lt;'!$D$7:$H$1014,'&gt; Open &lt;'!$D$7:$H$1044),3,0)," ")</f>
        <v>262.60000000000002</v>
      </c>
      <c r="F41" s="110">
        <f>SUM(G41:J41)</f>
        <v>424.29999999999995</v>
      </c>
      <c r="G41" s="110">
        <f>IFERROR(VLOOKUP(Mixed[[#This Row],[SM PO MI Rang]],$P$15:$Q$110,2,0)*G$5,"")</f>
        <v>198</v>
      </c>
      <c r="H41" s="110" t="str">
        <f>IFERROR(VLOOKUP(Mixed[[#This Row],[TS SH MI Rang]],$P$15:$Q$110,2,0)*H$5,"")</f>
        <v/>
      </c>
      <c r="I41" s="110" t="str">
        <f>IFERROR(VLOOKUP(Mixed[[#This Row],[TS BE MI Rang]],$P$15:$Q$110,2,0)*I$5,"")</f>
        <v/>
      </c>
      <c r="J41" s="109">
        <f>IFERROR(VLOOKUP(Mixed[[#This Row],[TS BA Mi 07.05.22 Rang]],$P$15:$Q$110,2,0)*J$5,"")</f>
        <v>226.29999999999998</v>
      </c>
      <c r="K41" s="70">
        <v>13</v>
      </c>
      <c r="L41" s="65" t="s">
        <v>434</v>
      </c>
      <c r="M41" s="68" t="s">
        <v>434</v>
      </c>
      <c r="N41" s="213">
        <v>8</v>
      </c>
      <c r="P41" s="155">
        <v>26</v>
      </c>
      <c r="Q41" s="155">
        <v>30</v>
      </c>
      <c r="R41" s="17"/>
      <c r="S41" s="17"/>
      <c r="T41" s="17">
        <f>RANK(Club_Ranking_Mixed[[#This Row],[Punkte]],$W$35:$W$47,0)</f>
        <v>7</v>
      </c>
      <c r="U41" s="17" t="s">
        <v>11</v>
      </c>
      <c r="V41" s="17">
        <f>COUNTIF(Mixed[Club],Club_Ranking_Mixed[[#This Row],[Club]])</f>
        <v>37</v>
      </c>
      <c r="W41" s="17">
        <f>SUMIF(Mixed[Club],Club_Ranking_Mixed[[#This Row],[Club]],Mixed[CR Punkte])</f>
        <v>2170.7999999999984</v>
      </c>
      <c r="X41" s="11"/>
      <c r="Y41" s="11"/>
      <c r="Z41" s="11"/>
      <c r="AA41" s="11"/>
      <c r="AB41" s="11"/>
    </row>
    <row r="42" spans="1:28" x14ac:dyDescent="0.2">
      <c r="A42" s="34">
        <f>RANK(F42,$F$7:$F$172,0)</f>
        <v>36</v>
      </c>
      <c r="B42" s="11" t="s">
        <v>544</v>
      </c>
      <c r="C42" s="4" t="s">
        <v>13</v>
      </c>
      <c r="D42" s="34" t="str">
        <f>IFERROR(VLOOKUP(B42,IF(IFERROR(VLOOKUP(B42,#REF!,5,0),0)&gt;1,#REF!,#REF!),4,0)," ")</f>
        <v xml:space="preserve"> </v>
      </c>
      <c r="E42" s="216" t="str">
        <f>IFERROR(VLOOKUP(B42,IF(IFERROR(VLOOKUP(B42,'&gt; Women &lt;'!$D$7:$F$1014,2,0),0)&gt;1,'&gt; Women &lt;'!$D$7:$H$1014,'&gt; Open &lt;'!$D$7:$H$1044),3,0)," ")</f>
        <v xml:space="preserve"> </v>
      </c>
      <c r="F42" s="110">
        <f>SUM(G42:J42)</f>
        <v>423.4</v>
      </c>
      <c r="G42" s="34" t="str">
        <f>IFERROR(VLOOKUP(Mixed[[#This Row],[SM PO MI Rang]],$P$15:$Q$110,2,0)*G$5,"")</f>
        <v/>
      </c>
      <c r="H42" s="34" t="str">
        <f>IFERROR(VLOOKUP(Mixed[[#This Row],[TS SH MI Rang]],$P$15:$Q$110,2,0)*H$5,"")</f>
        <v/>
      </c>
      <c r="I42" s="34" t="str">
        <f>IFERROR(VLOOKUP(Mixed[[#This Row],[TS BE MI Rang]],$P$15:$Q$110,2,0)*I$5,"")</f>
        <v/>
      </c>
      <c r="J42" s="110">
        <f>IFERROR(VLOOKUP(Mixed[[#This Row],[TS BA Mi 07.05.22 Rang]],$P$15:$Q$110,2,0)*J$5,"")</f>
        <v>423.4</v>
      </c>
      <c r="K42" s="217" t="str">
        <f>IFERROR(VLOOKUP(Mixed[[#This Row],[Name]],#REF!,4,0),"")</f>
        <v/>
      </c>
      <c r="L42" s="217" t="str">
        <f>IFERROR(VLOOKUP(Mixed[[#This Row],[Name]],#REF!,4,0),"")</f>
        <v/>
      </c>
      <c r="M42" s="218" t="str">
        <f>IFERROR(VLOOKUP(Mixed[[#This Row],[Name]],#REF!,4,0),"")</f>
        <v/>
      </c>
      <c r="N42" s="213">
        <v>5</v>
      </c>
      <c r="P42" s="155">
        <v>27</v>
      </c>
      <c r="Q42" s="155">
        <v>30</v>
      </c>
      <c r="R42" s="17"/>
      <c r="S42" s="17"/>
      <c r="T42" s="17">
        <f>RANK(Club_Ranking_Mixed[[#This Row],[Punkte]],$W$35:$W$47,0)</f>
        <v>8</v>
      </c>
      <c r="U42" s="17" t="s">
        <v>7</v>
      </c>
      <c r="V42" s="17">
        <f>COUNTIF(Mixed[Club],Club_Ranking_Mixed[[#This Row],[Club]])</f>
        <v>6</v>
      </c>
      <c r="W42" s="17">
        <f>SUMIF(Mixed[Club],Club_Ranking_Mixed[[#This Row],[Club]],Mixed[CR Punkte])</f>
        <v>1990.2</v>
      </c>
      <c r="X42" s="11"/>
      <c r="Y42" s="11"/>
      <c r="Z42" s="11"/>
      <c r="AA42" s="11"/>
      <c r="AB42" s="11"/>
    </row>
    <row r="43" spans="1:28" x14ac:dyDescent="0.2">
      <c r="A43" s="34">
        <f>RANK(F43,$F$7:$F$172,0)</f>
        <v>37</v>
      </c>
      <c r="B43" s="31" t="s">
        <v>76</v>
      </c>
      <c r="C43" s="9" t="s">
        <v>10</v>
      </c>
      <c r="D4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3" s="27">
        <f>IFERROR(VLOOKUP(B43,IF(IFERROR(VLOOKUP(B43,'&gt; Women &lt;'!$D$7:$F$1014,2,0),0)&gt;1,'&gt; Women &lt;'!$D$7:$H$1014,'&gt; Open &lt;'!$D$7:$H$1044),3,0)," ")</f>
        <v>352.4</v>
      </c>
      <c r="F43" s="110">
        <f>SUM(G43:J43)</f>
        <v>401</v>
      </c>
      <c r="G43" s="110">
        <f>IFERROR(VLOOKUP(Mixed[[#This Row],[SM PO MI Rang]],$P$15:$Q$110,2,0)*G$5,"")</f>
        <v>198</v>
      </c>
      <c r="H43" s="110" t="str">
        <f>IFERROR(VLOOKUP(Mixed[[#This Row],[TS SH MI Rang]],$P$15:$Q$110,2,0)*H$5,"")</f>
        <v/>
      </c>
      <c r="I43" s="110">
        <f>IFERROR(VLOOKUP(Mixed[[#This Row],[TS BE MI Rang]],$P$15:$Q$110,2,0)*I$5,"")</f>
        <v>57</v>
      </c>
      <c r="J43" s="109">
        <f>IFERROR(VLOOKUP(Mixed[[#This Row],[TS BA Mi 07.05.22 Rang]],$P$15:$Q$110,2,0)*J$5,"")</f>
        <v>146</v>
      </c>
      <c r="K43" s="73">
        <v>15</v>
      </c>
      <c r="L43" s="65" t="s">
        <v>434</v>
      </c>
      <c r="M43" s="74">
        <v>20</v>
      </c>
      <c r="N43" s="213">
        <v>11</v>
      </c>
      <c r="P43" s="155">
        <v>28</v>
      </c>
      <c r="Q43" s="155">
        <v>30</v>
      </c>
      <c r="R43" s="17"/>
      <c r="S43" s="17"/>
      <c r="T43" s="17">
        <f>RANK(Club_Ranking_Mixed[[#This Row],[Punkte]],$W$35:$W$47,0)</f>
        <v>9</v>
      </c>
      <c r="U43" s="17" t="s">
        <v>16</v>
      </c>
      <c r="V43" s="17">
        <f>COUNTIF(Mixed[Club],Club_Ranking_Mixed[[#This Row],[Club]])</f>
        <v>4</v>
      </c>
      <c r="W43" s="17">
        <f>SUMIF(Mixed[Club],Club_Ranking_Mixed[[#This Row],[Club]],Mixed[CR Punkte])</f>
        <v>1893.4</v>
      </c>
      <c r="X43" s="11"/>
      <c r="Y43" s="11"/>
      <c r="Z43" s="11"/>
      <c r="AA43" s="11"/>
      <c r="AB43" s="11"/>
    </row>
    <row r="44" spans="1:28" x14ac:dyDescent="0.2">
      <c r="A44" s="34">
        <f>RANK(F44,$F$7:$F$172,0)</f>
        <v>38</v>
      </c>
      <c r="B44" s="25" t="s">
        <v>232</v>
      </c>
      <c r="C44" t="s">
        <v>0</v>
      </c>
      <c r="D4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4" s="27">
        <f>IFERROR(VLOOKUP(B44,IF(IFERROR(VLOOKUP(B44,'&gt; Women &lt;'!$D$7:$F$1014,2,0),0)&gt;1,'&gt; Women &lt;'!$D$7:$H$1014,'&gt; Open &lt;'!$D$7:$H$1044),3,0)," ")</f>
        <v>2133.1</v>
      </c>
      <c r="F44" s="110">
        <f>SUM(G44:J44)</f>
        <v>388</v>
      </c>
      <c r="G44" s="110">
        <f>IFERROR(VLOOKUP(Mixed[[#This Row],[SM PO MI Rang]],$P$15:$Q$110,2,0)*G$5,"")</f>
        <v>198</v>
      </c>
      <c r="H44" s="110" t="str">
        <f>IFERROR(VLOOKUP(Mixed[[#This Row],[TS SH MI Rang]],$P$15:$Q$110,2,0)*H$5,"")</f>
        <v/>
      </c>
      <c r="I44" s="110">
        <f>IFERROR(VLOOKUP(Mixed[[#This Row],[TS BE MI Rang]],$P$15:$Q$110,2,0)*I$5,"")</f>
        <v>190</v>
      </c>
      <c r="J44" s="109" t="str">
        <f>IFERROR(VLOOKUP(Mixed[[#This Row],[TS BA Mi 07.05.22 Rang]],$P$15:$Q$110,2,0)*J$5,"")</f>
        <v/>
      </c>
      <c r="K44" s="73">
        <v>10</v>
      </c>
      <c r="L44" s="65" t="s">
        <v>434</v>
      </c>
      <c r="M44" s="69">
        <v>14</v>
      </c>
      <c r="N44" s="213"/>
      <c r="P44" s="155">
        <v>29</v>
      </c>
      <c r="Q44" s="155">
        <v>30</v>
      </c>
      <c r="R44" s="17"/>
      <c r="S44" s="17"/>
      <c r="T44" s="17">
        <f>RANK(Club_Ranking_Mixed[[#This Row],[Punkte]],$W$35:$W$47,0)</f>
        <v>10</v>
      </c>
      <c r="U44" s="17" t="s">
        <v>17</v>
      </c>
      <c r="V44" s="17">
        <f>COUNTIF(Mixed[Club],Club_Ranking_Mixed[[#This Row],[Club]])</f>
        <v>6</v>
      </c>
      <c r="W44" s="17">
        <f>SUMIF(Mixed[Club],Club_Ranking_Mixed[[#This Row],[Club]],Mixed[CR Punkte])</f>
        <v>874</v>
      </c>
      <c r="X44" s="11"/>
      <c r="Y44" s="11"/>
      <c r="Z44" s="11"/>
      <c r="AA44" s="11"/>
      <c r="AB44" s="11"/>
    </row>
    <row r="45" spans="1:28" x14ac:dyDescent="0.2">
      <c r="A45" s="34">
        <f>RANK(F45,$F$7:$F$172,0)</f>
        <v>39</v>
      </c>
      <c r="B45" s="31" t="s">
        <v>53</v>
      </c>
      <c r="C45" s="9" t="s">
        <v>10</v>
      </c>
      <c r="D4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5" s="27">
        <f>IFERROR(VLOOKUP(B45,IF(IFERROR(VLOOKUP(B45,'&gt; Women &lt;'!$D$7:$F$1014,2,0),0)&gt;1,'&gt; Women &lt;'!$D$7:$H$1014,'&gt; Open &lt;'!$D$7:$H$1044),3,0)," ")</f>
        <v>1529.3</v>
      </c>
      <c r="F45" s="110">
        <f>SUM(G45:J45)</f>
        <v>380</v>
      </c>
      <c r="G45" s="110">
        <f>IFERROR(VLOOKUP(Mixed[[#This Row],[SM PO MI Rang]],$P$15:$Q$110,2,0)*G$5,"")</f>
        <v>198</v>
      </c>
      <c r="H45" s="110">
        <f>IFERROR(VLOOKUP(Mixed[[#This Row],[TS SH MI Rang]],$P$15:$Q$110,2,0)*H$5,"")</f>
        <v>182</v>
      </c>
      <c r="I45" s="110" t="str">
        <f>IFERROR(VLOOKUP(Mixed[[#This Row],[TS BE MI Rang]],$P$15:$Q$110,2,0)*I$5,"")</f>
        <v/>
      </c>
      <c r="J45" s="109" t="str">
        <f>IFERROR(VLOOKUP(Mixed[[#This Row],[TS BA Mi 07.05.22 Rang]],$P$15:$Q$110,2,0)*J$5,"")</f>
        <v/>
      </c>
      <c r="K45" s="70">
        <v>16</v>
      </c>
      <c r="L45" s="65">
        <v>11</v>
      </c>
      <c r="M45" s="68" t="s">
        <v>434</v>
      </c>
      <c r="N45" s="213"/>
      <c r="P45" s="155">
        <v>30</v>
      </c>
      <c r="Q45" s="155">
        <v>30</v>
      </c>
      <c r="R45" s="17"/>
      <c r="S45" s="17"/>
      <c r="T45" s="17">
        <f>RANK(Club_Ranking_Mixed[[#This Row],[Punkte]],$W$35:$W$47,0)</f>
        <v>11</v>
      </c>
      <c r="U45" s="17" t="s">
        <v>9</v>
      </c>
      <c r="V45" s="17">
        <f>COUNTIF(Mixed[Club],Club_Ranking_Mixed[[#This Row],[Club]])</f>
        <v>5</v>
      </c>
      <c r="W45" s="17">
        <f>SUMIF(Mixed[Club],Club_Ranking_Mixed[[#This Row],[Club]],Mixed[CR Punkte])</f>
        <v>297</v>
      </c>
      <c r="X45" s="11"/>
      <c r="Y45" s="11"/>
      <c r="Z45" s="11"/>
      <c r="AA45" s="11"/>
      <c r="AB45" s="11"/>
    </row>
    <row r="46" spans="1:28" x14ac:dyDescent="0.2">
      <c r="A46" s="11">
        <f>RANK(F46,$F$7:$F$172,0)</f>
        <v>39</v>
      </c>
      <c r="B46" s="31" t="s">
        <v>45</v>
      </c>
      <c r="C46" s="11" t="s">
        <v>10</v>
      </c>
      <c r="D4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6" s="27">
        <f>IFERROR(VLOOKUP(B46,IF(IFERROR(VLOOKUP(B46,'&gt; Women &lt;'!$D$7:$F$1014,2,0),0)&gt;1,'&gt; Women &lt;'!$D$7:$H$1014,'&gt; Open &lt;'!$D$7:$H$1044),3,0)," ")</f>
        <v>506.5</v>
      </c>
      <c r="F46" s="109">
        <f>SUM(G46:J46)</f>
        <v>380</v>
      </c>
      <c r="G46" s="171">
        <f>IFERROR(VLOOKUP(Mixed[[#This Row],[SM PO MI Rang]],$P$15:$Q$110,2,0)*G$5,"")</f>
        <v>198</v>
      </c>
      <c r="H46" s="171">
        <f>IFERROR(VLOOKUP(Mixed[[#This Row],[TS SH MI Rang]],$P$15:$Q$110,2,0)*H$5,"")</f>
        <v>182</v>
      </c>
      <c r="I46" s="109" t="str">
        <f>IFERROR(VLOOKUP(Mixed[[#This Row],[TS BE MI Rang]],$P$15:$Q$110,2,0)*I$5,"")</f>
        <v/>
      </c>
      <c r="J46" s="109" t="str">
        <f>IFERROR(VLOOKUP(Mixed[[#This Row],[TS BA Mi 07.05.22 Rang]],$P$15:$Q$110,2,0)*J$5,"")</f>
        <v/>
      </c>
      <c r="K46" s="65">
        <v>16</v>
      </c>
      <c r="L46" s="65">
        <v>11</v>
      </c>
      <c r="M46" s="68" t="s">
        <v>434</v>
      </c>
      <c r="N46" s="213"/>
      <c r="P46" s="155">
        <v>31</v>
      </c>
      <c r="Q46" s="155">
        <v>30</v>
      </c>
      <c r="R46" s="17"/>
      <c r="S46" s="17"/>
      <c r="T46" s="17">
        <f>RANK(Club_Ranking_Mixed[[#This Row],[Punkte]],$W$35:$W$47,0)</f>
        <v>12</v>
      </c>
      <c r="U46" s="17" t="s">
        <v>14</v>
      </c>
      <c r="V46" s="17">
        <f>COUNTIF(Mixed[Club],Club_Ranking_Mixed[[#This Row],[Club]])</f>
        <v>2</v>
      </c>
      <c r="W46" s="17">
        <f>SUMIF(Mixed[Club],Club_Ranking_Mixed[[#This Row],[Club]],Mixed[CR Punkte])</f>
        <v>289</v>
      </c>
      <c r="X46" s="11"/>
      <c r="Y46" s="11"/>
      <c r="Z46" s="11"/>
      <c r="AA46" s="11"/>
      <c r="AB46" s="11"/>
    </row>
    <row r="47" spans="1:28" x14ac:dyDescent="0.2">
      <c r="A47" s="11">
        <f>RANK(F47,$F$7:$F$172,0)</f>
        <v>39</v>
      </c>
      <c r="B47" s="9" t="s">
        <v>197</v>
      </c>
      <c r="C47" s="9" t="s">
        <v>8</v>
      </c>
      <c r="D4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7" s="27">
        <f>IFERROR(VLOOKUP(B47,IF(IFERROR(VLOOKUP(B47,'&gt; Women &lt;'!$D$7:$F$1014,2,0),0)&gt;1,'&gt; Women &lt;'!$D$7:$H$1014,'&gt; Open &lt;'!$D$7:$H$1044),3,0)," ")</f>
        <v>346.79999999999995</v>
      </c>
      <c r="F47" s="109">
        <f>SUM(G47:J47)</f>
        <v>380</v>
      </c>
      <c r="G47" s="109">
        <f>IFERROR(VLOOKUP(Mixed[[#This Row],[SM PO MI Rang]],$P$15:$Q$110,2,0)*G$5,"")</f>
        <v>198</v>
      </c>
      <c r="H47" s="109">
        <f>IFERROR(VLOOKUP(Mixed[[#This Row],[TS SH MI Rang]],$P$15:$Q$110,2,0)*H$5,"")</f>
        <v>182</v>
      </c>
      <c r="I47" s="109" t="str">
        <f>IFERROR(VLOOKUP(Mixed[[#This Row],[TS BE MI Rang]],$P$15:$Q$110,2,0)*I$5,"")</f>
        <v/>
      </c>
      <c r="J47" s="109" t="str">
        <f>IFERROR(VLOOKUP(Mixed[[#This Row],[TS BA Mi 07.05.22 Rang]],$P$15:$Q$110,2,0)*J$5,"")</f>
        <v/>
      </c>
      <c r="K47" s="70">
        <v>12</v>
      </c>
      <c r="L47" s="70">
        <v>13</v>
      </c>
      <c r="M47" s="68" t="s">
        <v>434</v>
      </c>
      <c r="N47" s="213"/>
      <c r="P47" s="155">
        <v>32</v>
      </c>
      <c r="Q47" s="155">
        <v>30</v>
      </c>
      <c r="R47" s="17"/>
      <c r="S47" s="17"/>
      <c r="T47" s="198">
        <v>13</v>
      </c>
      <c r="U47" s="17" t="s">
        <v>488</v>
      </c>
      <c r="V47" s="198">
        <f>COUNTIF(Mixed[Club],Club_Ranking_Mixed[[#This Row],[Club]])</f>
        <v>0</v>
      </c>
      <c r="W47" s="198">
        <f>SUMIF(Mixed[Club],Club_Ranking_Mixed[[#This Row],[Club]],Mixed[CR Punkte])</f>
        <v>0</v>
      </c>
      <c r="X47" s="11"/>
      <c r="Y47" s="11"/>
      <c r="Z47" s="11"/>
      <c r="AA47" s="11"/>
      <c r="AB47" s="11"/>
    </row>
    <row r="48" spans="1:28" x14ac:dyDescent="0.2">
      <c r="A48" s="11">
        <f>RANK(F48,$F$7:$F$172,0)</f>
        <v>42</v>
      </c>
      <c r="B48" s="25" t="s">
        <v>304</v>
      </c>
      <c r="C48" s="4" t="s">
        <v>18</v>
      </c>
      <c r="D4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8" s="27" t="str">
        <f>IFERROR(VLOOKUP(B48,IF(IFERROR(VLOOKUP(B48,'&gt; Women &lt;'!$D$7:$F$1014,2,0),0)&gt;1,'&gt; Women &lt;'!$D$7:$H$1014,'&gt; Open &lt;'!$D$7:$H$1044),3,0)," ")</f>
        <v xml:space="preserve"> </v>
      </c>
      <c r="F48" s="109">
        <f>SUM(G48:J48)</f>
        <v>364</v>
      </c>
      <c r="G48" s="109" t="str">
        <f>IFERROR(VLOOKUP(Mixed[[#This Row],[SM PO MI Rang]],$P$15:$Q$110,2,0)*G$5,"")</f>
        <v/>
      </c>
      <c r="H48" s="109">
        <f>IFERROR(VLOOKUP(Mixed[[#This Row],[TS SH MI Rang]],$P$15:$Q$110,2,0)*H$5,"")</f>
        <v>364</v>
      </c>
      <c r="I48" s="109" t="str">
        <f>IFERROR(VLOOKUP(Mixed[[#This Row],[TS BE MI Rang]],$P$15:$Q$110,2,0)*I$5,"")</f>
        <v/>
      </c>
      <c r="J48" s="109" t="str">
        <f>IFERROR(VLOOKUP(Mixed[[#This Row],[TS BA Mi 07.05.22 Rang]],$P$15:$Q$110,2,0)*J$5,"")</f>
        <v/>
      </c>
      <c r="K48" s="65" t="s">
        <v>434</v>
      </c>
      <c r="L48" s="85">
        <v>7</v>
      </c>
      <c r="M48" s="68" t="s">
        <v>434</v>
      </c>
      <c r="N48" s="213"/>
      <c r="P48" s="155">
        <v>33</v>
      </c>
      <c r="Q48" s="155">
        <v>20</v>
      </c>
      <c r="R48" s="17"/>
      <c r="S48" s="17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x14ac:dyDescent="0.2">
      <c r="A49" s="34">
        <f>RANK(F49,$F$7:$F$172,0)</f>
        <v>42</v>
      </c>
      <c r="B49" s="3" t="s">
        <v>303</v>
      </c>
      <c r="C49" s="6" t="s">
        <v>18</v>
      </c>
      <c r="D4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49" s="27" t="str">
        <f>IFERROR(VLOOKUP(B49,IF(IFERROR(VLOOKUP(B49,'&gt; Women &lt;'!$D$7:$F$1014,2,0),0)&gt;1,'&gt; Women &lt;'!$D$7:$H$1014,'&gt; Open &lt;'!$D$7:$H$1044),3,0)," ")</f>
        <v xml:space="preserve"> </v>
      </c>
      <c r="F49" s="110">
        <f>SUM(G49:J49)</f>
        <v>364</v>
      </c>
      <c r="G49" s="110" t="str">
        <f>IFERROR(VLOOKUP(Mixed[[#This Row],[SM PO MI Rang]],$P$15:$Q$110,2,0)*G$5,"")</f>
        <v/>
      </c>
      <c r="H49" s="110">
        <f>IFERROR(VLOOKUP(Mixed[[#This Row],[TS SH MI Rang]],$P$15:$Q$110,2,0)*H$5,"")</f>
        <v>364</v>
      </c>
      <c r="I49" s="110" t="str">
        <f>IFERROR(VLOOKUP(Mixed[[#This Row],[TS BE MI Rang]],$P$15:$Q$110,2,0)*I$5,"")</f>
        <v/>
      </c>
      <c r="J49" s="109" t="str">
        <f>IFERROR(VLOOKUP(Mixed[[#This Row],[TS BA Mi 07.05.22 Rang]],$P$15:$Q$110,2,0)*J$5,"")</f>
        <v/>
      </c>
      <c r="K49" s="65" t="s">
        <v>434</v>
      </c>
      <c r="L49" s="85">
        <v>7</v>
      </c>
      <c r="M49" s="68" t="s">
        <v>434</v>
      </c>
      <c r="N49" s="213"/>
      <c r="P49" s="155">
        <v>34</v>
      </c>
      <c r="Q49" s="155">
        <v>20</v>
      </c>
      <c r="R49" s="17"/>
      <c r="S49" s="17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x14ac:dyDescent="0.2">
      <c r="A50" s="34">
        <f>RANK(F50,$F$7:$F$172,0)</f>
        <v>44</v>
      </c>
      <c r="B50" s="11" t="s">
        <v>545</v>
      </c>
      <c r="D50" s="34" t="str">
        <f>IFERROR(VLOOKUP(B50,IF(IFERROR(VLOOKUP(B50,#REF!,5,0),0)&gt;1,#REF!,#REF!),4,0)," ")</f>
        <v xml:space="preserve"> </v>
      </c>
      <c r="E50" s="216" t="str">
        <f>IFERROR(VLOOKUP(B50,IF(IFERROR(VLOOKUP(B50,'&gt; Women &lt;'!$D$7:$F$1014,2,0),0)&gt;1,'&gt; Women &lt;'!$D$7:$H$1014,'&gt; Open &lt;'!$D$7:$H$1044),3,0)," ")</f>
        <v xml:space="preserve"> </v>
      </c>
      <c r="F50" s="110">
        <f>SUM(G50:J50)</f>
        <v>357.7</v>
      </c>
      <c r="G50" s="34" t="str">
        <f>IFERROR(VLOOKUP(Mixed[[#This Row],[SM PO MI Rang]],$P$15:$Q$110,2,0)*G$5,"")</f>
        <v/>
      </c>
      <c r="H50" s="34" t="str">
        <f>IFERROR(VLOOKUP(Mixed[[#This Row],[TS SH MI Rang]],$P$15:$Q$110,2,0)*H$5,"")</f>
        <v/>
      </c>
      <c r="I50" s="34" t="str">
        <f>IFERROR(VLOOKUP(Mixed[[#This Row],[TS BE MI Rang]],$P$15:$Q$110,2,0)*I$5,"")</f>
        <v/>
      </c>
      <c r="J50" s="110">
        <f>IFERROR(VLOOKUP(Mixed[[#This Row],[TS BA Mi 07.05.22 Rang]],$P$15:$Q$110,2,0)*J$5,"")</f>
        <v>357.7</v>
      </c>
      <c r="K50" s="217" t="str">
        <f>IFERROR(VLOOKUP(Mixed[[#This Row],[Name]],#REF!,4,0),"")</f>
        <v/>
      </c>
      <c r="L50" s="217" t="str">
        <f>IFERROR(VLOOKUP(Mixed[[#This Row],[Name]],#REF!,4,0),"")</f>
        <v/>
      </c>
      <c r="M50" s="218" t="str">
        <f>IFERROR(VLOOKUP(Mixed[[#This Row],[Name]],#REF!,4,0),"")</f>
        <v/>
      </c>
      <c r="N50" s="213">
        <v>6</v>
      </c>
      <c r="P50" s="155">
        <v>35</v>
      </c>
      <c r="Q50" s="155">
        <v>20</v>
      </c>
      <c r="R50" s="17"/>
      <c r="S50" s="17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x14ac:dyDescent="0.2">
      <c r="A51" s="34">
        <f>RANK(F51,$F$7:$F$172,0)</f>
        <v>44</v>
      </c>
      <c r="B51" s="11" t="s">
        <v>525</v>
      </c>
      <c r="D51" s="34" t="str">
        <f>IFERROR(VLOOKUP(B51,IF(IFERROR(VLOOKUP(B51,#REF!,5,0),0)&gt;1,#REF!,#REF!),4,0)," ")</f>
        <v xml:space="preserve"> </v>
      </c>
      <c r="E51" s="216">
        <f>IFERROR(VLOOKUP(B51,IF(IFERROR(VLOOKUP(B51,'&gt; Women &lt;'!$D$7:$F$1014,2,0),0)&gt;1,'&gt; Women &lt;'!$D$7:$H$1014,'&gt; Open &lt;'!$D$7:$H$1044),3,0)," ")</f>
        <v>1490</v>
      </c>
      <c r="F51" s="110">
        <f>SUM(G51:J51)</f>
        <v>357.7</v>
      </c>
      <c r="G51" s="34" t="str">
        <f>IFERROR(VLOOKUP(Mixed[[#This Row],[SM PO MI Rang]],$P$15:$Q$110,2,0)*G$5,"")</f>
        <v/>
      </c>
      <c r="H51" s="34" t="str">
        <f>IFERROR(VLOOKUP(Mixed[[#This Row],[TS SH MI Rang]],$P$15:$Q$110,2,0)*H$5,"")</f>
        <v/>
      </c>
      <c r="I51" s="34" t="str">
        <f>IFERROR(VLOOKUP(Mixed[[#This Row],[TS BE MI Rang]],$P$15:$Q$110,2,0)*I$5,"")</f>
        <v/>
      </c>
      <c r="J51" s="110">
        <f>IFERROR(VLOOKUP(Mixed[[#This Row],[TS BA Mi 07.05.22 Rang]],$P$15:$Q$110,2,0)*J$5,"")</f>
        <v>357.7</v>
      </c>
      <c r="K51" s="217" t="str">
        <f>IFERROR(VLOOKUP(Mixed[[#This Row],[Name]],#REF!,4,0),"")</f>
        <v/>
      </c>
      <c r="L51" s="217" t="str">
        <f>IFERROR(VLOOKUP(Mixed[[#This Row],[Name]],#REF!,4,0),"")</f>
        <v/>
      </c>
      <c r="M51" s="218" t="str">
        <f>IFERROR(VLOOKUP(Mixed[[#This Row],[Name]],#REF!,4,0),"")</f>
        <v/>
      </c>
      <c r="N51" s="213">
        <v>6</v>
      </c>
      <c r="P51" s="155">
        <v>36</v>
      </c>
      <c r="Q51" s="155">
        <v>20</v>
      </c>
      <c r="R51" s="17"/>
      <c r="S51" s="17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x14ac:dyDescent="0.2">
      <c r="A52" s="11">
        <f>RANK(F52,$F$7:$F$172,0)</f>
        <v>46</v>
      </c>
      <c r="B52" s="9" t="s">
        <v>359</v>
      </c>
      <c r="C52" s="9" t="s">
        <v>0</v>
      </c>
      <c r="D5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2" s="27">
        <f>IFERROR(VLOOKUP(B52,IF(IFERROR(VLOOKUP(B52,'&gt; Women &lt;'!$D$7:$F$1014,2,0),0)&gt;1,'&gt; Women &lt;'!$D$7:$H$1014,'&gt; Open &lt;'!$D$7:$H$1044),3,0)," ")</f>
        <v>175</v>
      </c>
      <c r="F52" s="109">
        <f>SUM(G52:J52)</f>
        <v>349</v>
      </c>
      <c r="G52" s="109" t="str">
        <f>IFERROR(VLOOKUP(Mixed[[#This Row],[SM PO MI Rang]],$P$15:$Q$110,2,0)*G$5,"")</f>
        <v/>
      </c>
      <c r="H52" s="109" t="str">
        <f>IFERROR(VLOOKUP(Mixed[[#This Row],[TS SH MI Rang]],$P$15:$Q$110,2,0)*H$5,"")</f>
        <v/>
      </c>
      <c r="I52" s="109">
        <f>IFERROR(VLOOKUP(Mixed[[#This Row],[TS BE MI Rang]],$P$15:$Q$110,2,0)*I$5,"")</f>
        <v>57</v>
      </c>
      <c r="J52" s="109">
        <f>IFERROR(VLOOKUP(Mixed[[#This Row],[TS BA Mi 07.05.22 Rang]],$P$15:$Q$110,2,0)*J$5,"")</f>
        <v>292</v>
      </c>
      <c r="K52" s="65" t="s">
        <v>434</v>
      </c>
      <c r="L52" s="65" t="s">
        <v>434</v>
      </c>
      <c r="M52" s="68">
        <v>31</v>
      </c>
      <c r="N52" s="213">
        <v>7</v>
      </c>
      <c r="P52" s="155">
        <v>37</v>
      </c>
      <c r="Q52" s="155">
        <v>20</v>
      </c>
      <c r="R52" s="17"/>
      <c r="S52" s="17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x14ac:dyDescent="0.2">
      <c r="A53" s="11">
        <f>RANK(F53,$F$7:$F$172,0)</f>
        <v>47</v>
      </c>
      <c r="B53" s="9" t="s">
        <v>162</v>
      </c>
      <c r="C53" s="9" t="s">
        <v>10</v>
      </c>
      <c r="D5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3" s="27">
        <f>IFERROR(VLOOKUP(B53,IF(IFERROR(VLOOKUP(B53,'&gt; Women &lt;'!$D$7:$F$1014,2,0),0)&gt;1,'&gt; Women &lt;'!$D$7:$H$1014,'&gt; Open &lt;'!$D$7:$H$1044),3,0)," ")</f>
        <v>167.2</v>
      </c>
      <c r="F53" s="109">
        <f>SUM(G53:J53)</f>
        <v>328</v>
      </c>
      <c r="G53" s="109" t="str">
        <f>IFERROR(VLOOKUP(Mixed[[#This Row],[SM PO MI Rang]],$P$15:$Q$110,2,0)*G$5,"")</f>
        <v/>
      </c>
      <c r="H53" s="109">
        <f>IFERROR(VLOOKUP(Mixed[[#This Row],[TS SH MI Rang]],$P$15:$Q$110,2,0)*H$5,"")</f>
        <v>182</v>
      </c>
      <c r="I53" s="109" t="str">
        <f>IFERROR(VLOOKUP(Mixed[[#This Row],[TS BE MI Rang]],$P$15:$Q$110,2,0)*I$5,"")</f>
        <v/>
      </c>
      <c r="J53" s="109">
        <f>IFERROR(VLOOKUP(Mixed[[#This Row],[TS BA Mi 07.05.22 Rang]],$P$15:$Q$110,2,0)*J$5,"")</f>
        <v>146</v>
      </c>
      <c r="K53" s="65" t="s">
        <v>434</v>
      </c>
      <c r="L53" s="65">
        <v>14</v>
      </c>
      <c r="M53" s="68" t="s">
        <v>434</v>
      </c>
      <c r="N53" s="213">
        <v>12</v>
      </c>
      <c r="P53" s="155">
        <v>38</v>
      </c>
      <c r="Q53" s="155">
        <v>20</v>
      </c>
      <c r="R53" s="17"/>
      <c r="S53" s="17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x14ac:dyDescent="0.2">
      <c r="A54" s="11">
        <f>RANK(F54,$F$7:$F$172,0)</f>
        <v>48</v>
      </c>
      <c r="B54" t="s">
        <v>199</v>
      </c>
      <c r="C54" s="9" t="s">
        <v>0</v>
      </c>
      <c r="D5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4" s="27">
        <f>IFERROR(VLOOKUP(B54,IF(IFERROR(VLOOKUP(B54,'&gt; Women &lt;'!$D$7:$F$1014,2,0),0)&gt;1,'&gt; Women &lt;'!$D$7:$H$1014,'&gt; Open &lt;'!$D$7:$H$1044),3,0)," ")</f>
        <v>236</v>
      </c>
      <c r="F54" s="109">
        <f>SUM(G54:J54)</f>
        <v>294.5</v>
      </c>
      <c r="G54" s="109" t="str">
        <f>IFERROR(VLOOKUP(Mixed[[#This Row],[SM PO MI Rang]],$P$15:$Q$110,2,0)*G$5,"")</f>
        <v/>
      </c>
      <c r="H54" s="109" t="str">
        <f>IFERROR(VLOOKUP(Mixed[[#This Row],[TS SH MI Rang]],$P$15:$Q$110,2,0)*H$5,"")</f>
        <v/>
      </c>
      <c r="I54" s="109">
        <f>IFERROR(VLOOKUP(Mixed[[#This Row],[TS BE MI Rang]],$P$15:$Q$110,2,0)*I$5,"")</f>
        <v>294.5</v>
      </c>
      <c r="J54" s="109" t="str">
        <f>IFERROR(VLOOKUP(Mixed[[#This Row],[TS BA Mi 07.05.22 Rang]],$P$15:$Q$110,2,0)*J$5,"")</f>
        <v/>
      </c>
      <c r="K54" s="65" t="s">
        <v>434</v>
      </c>
      <c r="L54" s="65" t="s">
        <v>434</v>
      </c>
      <c r="M54" s="84">
        <v>8</v>
      </c>
      <c r="N54" s="214"/>
      <c r="P54" s="155">
        <v>39</v>
      </c>
      <c r="Q54" s="155">
        <v>20</v>
      </c>
      <c r="R54" s="17"/>
      <c r="S54" s="17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x14ac:dyDescent="0.2">
      <c r="A55" s="11">
        <f>RANK(F55,$F$7:$F$172,0)</f>
        <v>49</v>
      </c>
      <c r="B55" s="25" t="s">
        <v>305</v>
      </c>
      <c r="C55" t="s">
        <v>18</v>
      </c>
      <c r="D5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5" s="27" t="str">
        <f>IFERROR(VLOOKUP(B55,IF(IFERROR(VLOOKUP(B55,'&gt; Women &lt;'!$D$7:$F$1014,2,0),0)&gt;1,'&gt; Women &lt;'!$D$7:$H$1014,'&gt; Open &lt;'!$D$7:$H$1044),3,0)," ")</f>
        <v xml:space="preserve"> </v>
      </c>
      <c r="F55" s="109">
        <f>SUM(G55:J55)</f>
        <v>282.10000000000002</v>
      </c>
      <c r="G55" s="109" t="str">
        <f>IFERROR(VLOOKUP(Mixed[[#This Row],[SM PO MI Rang]],$P$15:$Q$110,2,0)*G$5,"")</f>
        <v/>
      </c>
      <c r="H55" s="109">
        <f>IFERROR(VLOOKUP(Mixed[[#This Row],[TS SH MI Rang]],$P$15:$Q$110,2,0)*H$5,"")</f>
        <v>282.10000000000002</v>
      </c>
      <c r="I55" s="109" t="str">
        <f>IFERROR(VLOOKUP(Mixed[[#This Row],[TS BE MI Rang]],$P$15:$Q$110,2,0)*I$5,"")</f>
        <v/>
      </c>
      <c r="J55" s="109" t="str">
        <f>IFERROR(VLOOKUP(Mixed[[#This Row],[TS BA Mi 07.05.22 Rang]],$P$15:$Q$110,2,0)*J$5,"")</f>
        <v/>
      </c>
      <c r="K55" s="65" t="s">
        <v>434</v>
      </c>
      <c r="L55" s="85">
        <v>8</v>
      </c>
      <c r="M55" s="68" t="s">
        <v>434</v>
      </c>
      <c r="N55" s="213"/>
      <c r="P55" s="155">
        <v>40</v>
      </c>
      <c r="Q55" s="155">
        <v>20</v>
      </c>
      <c r="R55" s="17"/>
      <c r="S55" s="17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x14ac:dyDescent="0.2">
      <c r="A56" s="34">
        <f>RANK(F56,$F$7:$F$172,0)</f>
        <v>49</v>
      </c>
      <c r="B56" t="s">
        <v>306</v>
      </c>
      <c r="C56" s="37" t="s">
        <v>18</v>
      </c>
      <c r="D5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6" s="27" t="str">
        <f>IFERROR(VLOOKUP(B56,IF(IFERROR(VLOOKUP(B56,'&gt; Women &lt;'!$D$7:$F$1014,2,0),0)&gt;1,'&gt; Women &lt;'!$D$7:$H$1014,'&gt; Open &lt;'!$D$7:$H$1044),3,0)," ")</f>
        <v xml:space="preserve"> </v>
      </c>
      <c r="F56" s="110">
        <f>SUM(G56:J56)</f>
        <v>282.10000000000002</v>
      </c>
      <c r="G56" s="110" t="str">
        <f>IFERROR(VLOOKUP(Mixed[[#This Row],[SM PO MI Rang]],$P$15:$Q$110,2,0)*G$5,"")</f>
        <v/>
      </c>
      <c r="H56" s="110">
        <f>IFERROR(VLOOKUP(Mixed[[#This Row],[TS SH MI Rang]],$P$15:$Q$110,2,0)*H$5,"")</f>
        <v>282.10000000000002</v>
      </c>
      <c r="I56" s="110" t="str">
        <f>IFERROR(VLOOKUP(Mixed[[#This Row],[TS BE MI Rang]],$P$15:$Q$110,2,0)*I$5,"")</f>
        <v/>
      </c>
      <c r="J56" s="109" t="str">
        <f>IFERROR(VLOOKUP(Mixed[[#This Row],[TS BA Mi 07.05.22 Rang]],$P$15:$Q$110,2,0)*J$5,"")</f>
        <v/>
      </c>
      <c r="K56" s="65" t="s">
        <v>434</v>
      </c>
      <c r="L56" s="85">
        <v>8</v>
      </c>
      <c r="M56" s="68" t="s">
        <v>434</v>
      </c>
      <c r="N56" s="213"/>
      <c r="P56" s="155">
        <v>41</v>
      </c>
      <c r="Q56" s="155">
        <v>20</v>
      </c>
      <c r="R56" s="17"/>
      <c r="S56" s="17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x14ac:dyDescent="0.2">
      <c r="A57" s="11">
        <f>RANK(F57,$F$7:$F$172,0)</f>
        <v>51</v>
      </c>
      <c r="B57" s="31" t="s">
        <v>124</v>
      </c>
      <c r="C57" s="9" t="s">
        <v>13</v>
      </c>
      <c r="D5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7" s="27">
        <f>IFERROR(VLOOKUP(B57,IF(IFERROR(VLOOKUP(B57,'&gt; Women &lt;'!$D$7:$F$1014,2,0),0)&gt;1,'&gt; Women &lt;'!$D$7:$H$1014,'&gt; Open &lt;'!$D$7:$H$1044),3,0)," ")</f>
        <v>0</v>
      </c>
      <c r="F57" s="109">
        <f>SUM(G57:J57)</f>
        <v>257.60000000000002</v>
      </c>
      <c r="G57" s="171" t="str">
        <f>IFERROR(VLOOKUP(Mixed[[#This Row],[SM PO MI Rang]],$P$15:$Q$110,2,0)*G$5,"")</f>
        <v/>
      </c>
      <c r="H57" s="109">
        <f>IFERROR(VLOOKUP(Mixed[[#This Row],[TS SH MI Rang]],$P$15:$Q$110,2,0)*H$5,"")</f>
        <v>54.6</v>
      </c>
      <c r="I57" s="109">
        <f>IFERROR(VLOOKUP(Mixed[[#This Row],[TS BE MI Rang]],$P$15:$Q$110,2,0)*I$5,"")</f>
        <v>57</v>
      </c>
      <c r="J57" s="109">
        <f>IFERROR(VLOOKUP(Mixed[[#This Row],[TS BA Mi 07.05.22 Rang]],$P$15:$Q$110,2,0)*J$5,"")</f>
        <v>146</v>
      </c>
      <c r="K57" s="65" t="s">
        <v>434</v>
      </c>
      <c r="L57" s="65">
        <v>20</v>
      </c>
      <c r="M57" s="68">
        <v>27</v>
      </c>
      <c r="N57" s="213">
        <v>13</v>
      </c>
      <c r="O57" s="41"/>
      <c r="P57" s="163">
        <v>42</v>
      </c>
      <c r="Q57" s="163">
        <v>20</v>
      </c>
      <c r="R57" s="161"/>
      <c r="S57" s="16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x14ac:dyDescent="0.2">
      <c r="A58" s="11">
        <f>RANK(F58,$F$7:$F$172,0)</f>
        <v>52</v>
      </c>
      <c r="B58" s="2" t="s">
        <v>164</v>
      </c>
      <c r="C58" s="1" t="s">
        <v>10</v>
      </c>
      <c r="D5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8" s="27">
        <f>IFERROR(VLOOKUP(B58,IF(IFERROR(VLOOKUP(B58,'&gt; Women &lt;'!$D$7:$F$1014,2,0),0)&gt;1,'&gt; Women &lt;'!$D$7:$H$1014,'&gt; Open &lt;'!$D$7:$H$1044),3,0)," ")</f>
        <v>144.30000000000001</v>
      </c>
      <c r="F58" s="109">
        <f>SUM(G58:J58)</f>
        <v>255</v>
      </c>
      <c r="G58" s="109">
        <f>IFERROR(VLOOKUP(Mixed[[#This Row],[SM PO MI Rang]],$P$15:$Q$110,2,0)*G$5,"")</f>
        <v>198</v>
      </c>
      <c r="H58" s="171" t="str">
        <f>IFERROR(VLOOKUP(Mixed[[#This Row],[TS SH MI Rang]],$P$15:$Q$110,2,0)*H$5,"")</f>
        <v/>
      </c>
      <c r="I58" s="109">
        <f>IFERROR(VLOOKUP(Mixed[[#This Row],[TS BE MI Rang]],$P$15:$Q$110,2,0)*I$5,"")</f>
        <v>57</v>
      </c>
      <c r="J58" s="109" t="str">
        <f>IFERROR(VLOOKUP(Mixed[[#This Row],[TS BA Mi 07.05.22 Rang]],$P$15:$Q$110,2,0)*J$5,"")</f>
        <v/>
      </c>
      <c r="K58" s="81">
        <v>15</v>
      </c>
      <c r="L58" s="65" t="s">
        <v>434</v>
      </c>
      <c r="M58" s="82">
        <v>20</v>
      </c>
      <c r="N58" s="213"/>
      <c r="O58" s="41"/>
      <c r="P58" s="163">
        <v>43</v>
      </c>
      <c r="Q58" s="163">
        <v>20</v>
      </c>
      <c r="R58" s="161"/>
      <c r="S58" s="16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x14ac:dyDescent="0.2">
      <c r="A59" s="11">
        <f>RANK(F59,$F$7:$F$172,0)</f>
        <v>52</v>
      </c>
      <c r="B59" s="3" t="s">
        <v>198</v>
      </c>
      <c r="C59" s="9" t="s">
        <v>0</v>
      </c>
      <c r="D5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59" s="27">
        <f>IFERROR(VLOOKUP(B59,IF(IFERROR(VLOOKUP(B59,'&gt; Women &lt;'!$D$7:$F$1014,2,0),0)&gt;1,'&gt; Women &lt;'!$D$7:$H$1014,'&gt; Open &lt;'!$D$7:$H$1044),3,0)," ")</f>
        <v>382.3</v>
      </c>
      <c r="F59" s="109">
        <f>SUM(G59:J59)</f>
        <v>255</v>
      </c>
      <c r="G59" s="109">
        <f>IFERROR(VLOOKUP(Mixed[[#This Row],[SM PO MI Rang]],$P$15:$Q$110,2,0)*G$5,"")</f>
        <v>198</v>
      </c>
      <c r="H59" s="109" t="str">
        <f>IFERROR(VLOOKUP(Mixed[[#This Row],[TS SH MI Rang]],$P$15:$Q$110,2,0)*H$5,"")</f>
        <v/>
      </c>
      <c r="I59" s="109">
        <f>IFERROR(VLOOKUP(Mixed[[#This Row],[TS BE MI Rang]],$P$15:$Q$110,2,0)*I$5,"")</f>
        <v>57</v>
      </c>
      <c r="J59" s="109" t="str">
        <f>IFERROR(VLOOKUP(Mixed[[#This Row],[TS BA Mi 07.05.22 Rang]],$P$15:$Q$110,2,0)*J$5,"")</f>
        <v/>
      </c>
      <c r="K59" s="81">
        <v>10</v>
      </c>
      <c r="L59" s="65" t="s">
        <v>434</v>
      </c>
      <c r="M59" s="77">
        <v>23</v>
      </c>
      <c r="N59" s="214"/>
      <c r="P59" s="155">
        <v>44</v>
      </c>
      <c r="Q59" s="155">
        <v>20</v>
      </c>
      <c r="R59" s="17"/>
      <c r="S59" s="17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x14ac:dyDescent="0.2">
      <c r="A60" s="34">
        <f>RANK(F60,$F$7:$F$172,0)</f>
        <v>54</v>
      </c>
      <c r="B60" s="31" t="s">
        <v>77</v>
      </c>
      <c r="C60" s="9" t="s">
        <v>10</v>
      </c>
      <c r="D6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0" s="27">
        <f>IFERROR(VLOOKUP(B60,IF(IFERROR(VLOOKUP(B60,'&gt; Women &lt;'!$D$7:$F$1014,2,0),0)&gt;1,'&gt; Women &lt;'!$D$7:$H$1014,'&gt; Open &lt;'!$D$7:$H$1044),3,0)," ")</f>
        <v>151.19999999999999</v>
      </c>
      <c r="F60" s="110">
        <f>SUM(G60:J60)</f>
        <v>249.4</v>
      </c>
      <c r="G60" s="110">
        <f>IFERROR(VLOOKUP(Mixed[[#This Row],[SM PO MI Rang]],$P$15:$Q$110,2,0)*G$5,"")</f>
        <v>59.4</v>
      </c>
      <c r="H60" s="110" t="str">
        <f>IFERROR(VLOOKUP(Mixed[[#This Row],[TS SH MI Rang]],$P$15:$Q$110,2,0)*H$5,"")</f>
        <v/>
      </c>
      <c r="I60" s="110">
        <f>IFERROR(VLOOKUP(Mixed[[#This Row],[TS BE MI Rang]],$P$15:$Q$110,2,0)*I$5,"")</f>
        <v>190</v>
      </c>
      <c r="J60" s="109" t="str">
        <f>IFERROR(VLOOKUP(Mixed[[#This Row],[TS BA Mi 07.05.22 Rang]],$P$15:$Q$110,2,0)*J$5,"")</f>
        <v/>
      </c>
      <c r="K60" s="65">
        <v>19</v>
      </c>
      <c r="L60" s="65" t="s">
        <v>434</v>
      </c>
      <c r="M60" s="68">
        <v>16</v>
      </c>
      <c r="N60" s="213"/>
      <c r="P60" s="155">
        <v>45</v>
      </c>
      <c r="Q60" s="155">
        <v>20</v>
      </c>
      <c r="R60" s="17"/>
      <c r="S60" s="17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x14ac:dyDescent="0.2">
      <c r="A61" s="34">
        <f>RANK(F61,$F$7:$F$172,0)</f>
        <v>55</v>
      </c>
      <c r="B61" s="31" t="s">
        <v>86</v>
      </c>
      <c r="C61" s="9" t="s">
        <v>10</v>
      </c>
      <c r="D6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1" s="27">
        <f>IFERROR(VLOOKUP(B61,IF(IFERROR(VLOOKUP(B61,'&gt; Women &lt;'!$D$7:$F$1014,2,0),0)&gt;1,'&gt; Women &lt;'!$D$7:$H$1014,'&gt; Open &lt;'!$D$7:$H$1044),3,0)," ")</f>
        <v>374.4</v>
      </c>
      <c r="F61" s="110">
        <f>SUM(G61:J61)</f>
        <v>241.4</v>
      </c>
      <c r="G61" s="110">
        <f>IFERROR(VLOOKUP(Mixed[[#This Row],[SM PO MI Rang]],$P$15:$Q$110,2,0)*G$5,"")</f>
        <v>59.4</v>
      </c>
      <c r="H61" s="110">
        <f>IFERROR(VLOOKUP(Mixed[[#This Row],[TS SH MI Rang]],$P$15:$Q$110,2,0)*H$5,"")</f>
        <v>182</v>
      </c>
      <c r="I61" s="110" t="str">
        <f>IFERROR(VLOOKUP(Mixed[[#This Row],[TS BE MI Rang]],$P$15:$Q$110,2,0)*I$5,"")</f>
        <v/>
      </c>
      <c r="J61" s="109" t="str">
        <f>IFERROR(VLOOKUP(Mixed[[#This Row],[TS BA Mi 07.05.22 Rang]],$P$15:$Q$110,2,0)*J$5,"")</f>
        <v/>
      </c>
      <c r="K61" s="65">
        <v>17</v>
      </c>
      <c r="L61" s="65">
        <v>15</v>
      </c>
      <c r="M61" s="68" t="s">
        <v>434</v>
      </c>
      <c r="N61" s="213"/>
      <c r="P61" s="155">
        <v>46</v>
      </c>
      <c r="Q61" s="155">
        <v>20</v>
      </c>
      <c r="R61" s="17"/>
      <c r="S61" s="17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x14ac:dyDescent="0.2">
      <c r="A62" s="11">
        <f>RANK(F62,$F$7:$F$172,0)</f>
        <v>56</v>
      </c>
      <c r="B62" s="25" t="s">
        <v>308</v>
      </c>
      <c r="C62" t="s">
        <v>18</v>
      </c>
      <c r="D6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2" s="27" t="str">
        <f>IFERROR(VLOOKUP(B62,IF(IFERROR(VLOOKUP(B62,'&gt; Women &lt;'!$D$7:$F$1014,2,0),0)&gt;1,'&gt; Women &lt;'!$D$7:$H$1014,'&gt; Open &lt;'!$D$7:$H$1044),3,0)," ")</f>
        <v xml:space="preserve"> </v>
      </c>
      <c r="F62" s="109">
        <f>SUM(G62:J62)</f>
        <v>239</v>
      </c>
      <c r="G62" s="109" t="str">
        <f>IFERROR(VLOOKUP(Mixed[[#This Row],[SM PO MI Rang]],$P$15:$Q$110,2,0)*G$5,"")</f>
        <v/>
      </c>
      <c r="H62" s="109">
        <f>IFERROR(VLOOKUP(Mixed[[#This Row],[TS SH MI Rang]],$P$15:$Q$110,2,0)*H$5,"")</f>
        <v>182</v>
      </c>
      <c r="I62" s="109">
        <f>IFERROR(VLOOKUP(Mixed[[#This Row],[TS BE MI Rang]],$P$15:$Q$110,2,0)*I$5,"")</f>
        <v>57</v>
      </c>
      <c r="J62" s="109" t="str">
        <f>IFERROR(VLOOKUP(Mixed[[#This Row],[TS BA Mi 07.05.22 Rang]],$P$15:$Q$110,2,0)*J$5,"")</f>
        <v/>
      </c>
      <c r="K62" s="65" t="s">
        <v>434</v>
      </c>
      <c r="L62" s="65">
        <v>10</v>
      </c>
      <c r="M62" s="68">
        <v>17</v>
      </c>
      <c r="N62" s="213"/>
      <c r="P62" s="155">
        <v>47</v>
      </c>
      <c r="Q62" s="155">
        <v>20</v>
      </c>
      <c r="R62" s="17"/>
      <c r="S62" s="17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x14ac:dyDescent="0.2">
      <c r="A63" s="34">
        <f>RANK(F63,$F$7:$F$172,0)</f>
        <v>56</v>
      </c>
      <c r="B63" t="s">
        <v>307</v>
      </c>
      <c r="C63" s="1" t="s">
        <v>18</v>
      </c>
      <c r="D6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3" s="27" t="str">
        <f>IFERROR(VLOOKUP(B63,IF(IFERROR(VLOOKUP(B63,'&gt; Women &lt;'!$D$7:$F$1014,2,0),0)&gt;1,'&gt; Women &lt;'!$D$7:$H$1014,'&gt; Open &lt;'!$D$7:$H$1044),3,0)," ")</f>
        <v xml:space="preserve"> </v>
      </c>
      <c r="F63" s="110">
        <f>SUM(G63:J63)</f>
        <v>239</v>
      </c>
      <c r="G63" s="110" t="str">
        <f>IFERROR(VLOOKUP(Mixed[[#This Row],[SM PO MI Rang]],$P$15:$Q$110,2,0)*G$5,"")</f>
        <v/>
      </c>
      <c r="H63" s="110">
        <f>IFERROR(VLOOKUP(Mixed[[#This Row],[TS SH MI Rang]],$P$15:$Q$110,2,0)*H$5,"")</f>
        <v>182</v>
      </c>
      <c r="I63" s="110">
        <f>IFERROR(VLOOKUP(Mixed[[#This Row],[TS BE MI Rang]],$P$15:$Q$110,2,0)*I$5,"")</f>
        <v>57</v>
      </c>
      <c r="J63" s="109" t="str">
        <f>IFERROR(VLOOKUP(Mixed[[#This Row],[TS BA Mi 07.05.22 Rang]],$P$15:$Q$110,2,0)*J$5,"")</f>
        <v/>
      </c>
      <c r="K63" s="65" t="s">
        <v>434</v>
      </c>
      <c r="L63" s="65">
        <v>10</v>
      </c>
      <c r="M63" s="68">
        <v>17</v>
      </c>
      <c r="N63" s="213"/>
      <c r="P63" s="155">
        <v>48</v>
      </c>
      <c r="Q63" s="155">
        <v>20</v>
      </c>
      <c r="R63" s="17"/>
      <c r="S63" s="17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x14ac:dyDescent="0.2">
      <c r="A64" s="11">
        <f>RANK(F64,$F$7:$F$172,0)</f>
        <v>58</v>
      </c>
      <c r="B64" s="25" t="s">
        <v>222</v>
      </c>
      <c r="C64" t="s">
        <v>14</v>
      </c>
      <c r="D6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4" s="27">
        <f>IFERROR(VLOOKUP(B64,IF(IFERROR(VLOOKUP(B64,'&gt; Women &lt;'!$D$7:$F$1014,2,0),0)&gt;1,'&gt; Women &lt;'!$D$7:$H$1014,'&gt; Open &lt;'!$D$7:$H$1044),3,0)," ")</f>
        <v>141.19999999999999</v>
      </c>
      <c r="F64" s="109">
        <f>SUM(G64:J64)</f>
        <v>229.6</v>
      </c>
      <c r="G64" s="109">
        <f>IFERROR(VLOOKUP(Mixed[[#This Row],[SM PO MI Rang]],$P$15:$Q$110,2,0)*G$5,"")</f>
        <v>39.6</v>
      </c>
      <c r="H64" s="109" t="str">
        <f>IFERROR(VLOOKUP(Mixed[[#This Row],[TS SH MI Rang]],$P$15:$Q$110,2,0)*H$5,"")</f>
        <v/>
      </c>
      <c r="I64" s="109">
        <f>IFERROR(VLOOKUP(Mixed[[#This Row],[TS BE MI Rang]],$P$15:$Q$110,2,0)*I$5,"")</f>
        <v>190</v>
      </c>
      <c r="J64" s="109" t="str">
        <f>IFERROR(VLOOKUP(Mixed[[#This Row],[TS BA Mi 07.05.22 Rang]],$P$15:$Q$110,2,0)*J$5,"")</f>
        <v/>
      </c>
      <c r="K64" s="65">
        <v>36</v>
      </c>
      <c r="L64" s="65" t="s">
        <v>434</v>
      </c>
      <c r="M64" s="68">
        <v>12</v>
      </c>
      <c r="N64" s="213"/>
      <c r="P64" s="155">
        <v>49</v>
      </c>
      <c r="Q64" s="155">
        <v>20</v>
      </c>
      <c r="R64" s="17"/>
      <c r="S64" s="17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x14ac:dyDescent="0.2">
      <c r="A65" s="11">
        <f>RANK(F65,$F$7:$F$172,0)</f>
        <v>59</v>
      </c>
      <c r="B65" s="25" t="s">
        <v>224</v>
      </c>
      <c r="C65" t="s">
        <v>0</v>
      </c>
      <c r="D6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5" s="27">
        <f>IFERROR(VLOOKUP(B65,IF(IFERROR(VLOOKUP(B65,'&gt; Women &lt;'!$D$7:$F$1014,2,0),0)&gt;1,'&gt; Women &lt;'!$D$7:$H$1014,'&gt; Open &lt;'!$D$7:$H$1044),3,0)," ")</f>
        <v>38.5</v>
      </c>
      <c r="F65" s="109">
        <f>SUM(G65:J65)</f>
        <v>205.4</v>
      </c>
      <c r="G65" s="109">
        <f>IFERROR(VLOOKUP(Mixed[[#This Row],[SM PO MI Rang]],$P$15:$Q$110,2,0)*G$5,"")</f>
        <v>59.4</v>
      </c>
      <c r="H65" s="109" t="str">
        <f>IFERROR(VLOOKUP(Mixed[[#This Row],[TS SH MI Rang]],$P$15:$Q$110,2,0)*H$5,"")</f>
        <v/>
      </c>
      <c r="I65" s="109" t="str">
        <f>IFERROR(VLOOKUP(Mixed[[#This Row],[TS BE MI Rang]],$P$15:$Q$110,2,0)*I$5,"")</f>
        <v/>
      </c>
      <c r="J65" s="109">
        <f>IFERROR(VLOOKUP(Mixed[[#This Row],[TS BA Mi 07.05.22 Rang]],$P$15:$Q$110,2,0)*J$5,"")</f>
        <v>146</v>
      </c>
      <c r="K65" s="65">
        <v>25</v>
      </c>
      <c r="L65" s="65" t="s">
        <v>434</v>
      </c>
      <c r="M65" s="68" t="s">
        <v>434</v>
      </c>
      <c r="N65" s="213">
        <v>10</v>
      </c>
      <c r="P65" s="155">
        <v>50</v>
      </c>
      <c r="Q65" s="155">
        <v>20</v>
      </c>
      <c r="R65" s="17"/>
      <c r="S65" s="17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x14ac:dyDescent="0.2">
      <c r="A66" s="34">
        <f>RANK(F66,$F$7:$F$172,0)</f>
        <v>60</v>
      </c>
      <c r="B66" s="25" t="s">
        <v>314</v>
      </c>
      <c r="C66" s="29" t="s">
        <v>13</v>
      </c>
      <c r="D6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6" s="27">
        <f>IFERROR(VLOOKUP(B66,IF(IFERROR(VLOOKUP(B66,'&gt; Women &lt;'!$D$7:$F$1014,2,0),0)&gt;1,'&gt; Women &lt;'!$D$7:$H$1014,'&gt; Open &lt;'!$D$7:$H$1044),3,0)," ")</f>
        <v>186.4</v>
      </c>
      <c r="F66" s="110">
        <f>SUM(G66:J66)</f>
        <v>200.6</v>
      </c>
      <c r="G66" s="110" t="str">
        <f>IFERROR(VLOOKUP(Mixed[[#This Row],[SM PO MI Rang]],$P$15:$Q$110,2,0)*G$5,"")</f>
        <v/>
      </c>
      <c r="H66" s="110">
        <f>IFERROR(VLOOKUP(Mixed[[#This Row],[TS SH MI Rang]],$P$15:$Q$110,2,0)*H$5,"")</f>
        <v>54.6</v>
      </c>
      <c r="I66" s="110" t="str">
        <f>IFERROR(VLOOKUP(Mixed[[#This Row],[TS BE MI Rang]],$P$15:$Q$110,2,0)*I$5,"")</f>
        <v/>
      </c>
      <c r="J66" s="109">
        <f>IFERROR(VLOOKUP(Mixed[[#This Row],[TS BA Mi 07.05.22 Rang]],$P$15:$Q$110,2,0)*J$5,"")</f>
        <v>146</v>
      </c>
      <c r="K66" s="65" t="s">
        <v>434</v>
      </c>
      <c r="L66" s="65">
        <v>20</v>
      </c>
      <c r="M66" s="68" t="s">
        <v>434</v>
      </c>
      <c r="N66" s="213">
        <v>13</v>
      </c>
      <c r="P66" s="155">
        <v>51</v>
      </c>
      <c r="Q66" s="155">
        <v>20</v>
      </c>
      <c r="R66" s="17"/>
      <c r="S66" s="17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x14ac:dyDescent="0.2">
      <c r="A67" s="34">
        <f>RANK(F67,$F$7:$F$172,0)</f>
        <v>61</v>
      </c>
      <c r="B67" s="9" t="s">
        <v>185</v>
      </c>
      <c r="C67" s="9" t="s">
        <v>0</v>
      </c>
      <c r="D6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7" s="27">
        <f>IFERROR(VLOOKUP(B67,IF(IFERROR(VLOOKUP(B67,'&gt; Women &lt;'!$D$7:$F$1014,2,0),0)&gt;1,'&gt; Women &lt;'!$D$7:$H$1014,'&gt; Open &lt;'!$D$7:$H$1044),3,0)," ")</f>
        <v>2361.4</v>
      </c>
      <c r="F67" s="110">
        <f>SUM(G67:J67)</f>
        <v>198</v>
      </c>
      <c r="G67" s="110">
        <f>IFERROR(VLOOKUP(Mixed[[#This Row],[SM PO MI Rang]],$P$15:$Q$110,2,0)*G$5,"")</f>
        <v>198</v>
      </c>
      <c r="H67" s="110" t="str">
        <f>IFERROR(VLOOKUP(Mixed[[#This Row],[TS SH MI Rang]],$P$15:$Q$110,2,0)*H$5,"")</f>
        <v/>
      </c>
      <c r="I67" s="110" t="str">
        <f>IFERROR(VLOOKUP(Mixed[[#This Row],[TS BE MI Rang]],$P$15:$Q$110,2,0)*I$5,"")</f>
        <v/>
      </c>
      <c r="J67" s="109" t="str">
        <f>IFERROR(VLOOKUP(Mixed[[#This Row],[TS BA Mi 07.05.22 Rang]],$P$15:$Q$110,2,0)*J$5,"")</f>
        <v/>
      </c>
      <c r="K67" s="73">
        <v>14</v>
      </c>
      <c r="L67" s="65" t="s">
        <v>434</v>
      </c>
      <c r="M67" s="68" t="s">
        <v>434</v>
      </c>
      <c r="N67" s="213"/>
      <c r="P67" s="155">
        <v>52</v>
      </c>
      <c r="Q67" s="155">
        <v>20</v>
      </c>
      <c r="R67" s="17"/>
      <c r="S67" s="17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x14ac:dyDescent="0.2">
      <c r="A68" s="11">
        <f>RANK(F68,$F$7:$F$172,0)</f>
        <v>61</v>
      </c>
      <c r="B68" s="31" t="s">
        <v>43</v>
      </c>
      <c r="C68" s="9" t="s">
        <v>10</v>
      </c>
      <c r="D6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8" s="27">
        <f>IFERROR(VLOOKUP(B68,IF(IFERROR(VLOOKUP(B68,'&gt; Women &lt;'!$D$7:$F$1014,2,0),0)&gt;1,'&gt; Women &lt;'!$D$7:$H$1014,'&gt; Open &lt;'!$D$7:$H$1044),3,0)," ")</f>
        <v>167.2</v>
      </c>
      <c r="F68" s="109">
        <f>SUM(G68:J68)</f>
        <v>198</v>
      </c>
      <c r="G68" s="171">
        <f>IFERROR(VLOOKUP(Mixed[[#This Row],[SM PO MI Rang]],$P$15:$Q$110,2,0)*G$5,"")</f>
        <v>198</v>
      </c>
      <c r="H68" s="109" t="str">
        <f>IFERROR(VLOOKUP(Mixed[[#This Row],[TS SH MI Rang]],$P$15:$Q$110,2,0)*H$5,"")</f>
        <v/>
      </c>
      <c r="I68" s="109" t="str">
        <f>IFERROR(VLOOKUP(Mixed[[#This Row],[TS BE MI Rang]],$P$15:$Q$110,2,0)*I$5,"")</f>
        <v/>
      </c>
      <c r="J68" s="109" t="str">
        <f>IFERROR(VLOOKUP(Mixed[[#This Row],[TS BA Mi 07.05.22 Rang]],$P$15:$Q$110,2,0)*J$5,"")</f>
        <v/>
      </c>
      <c r="K68" s="65">
        <v>13</v>
      </c>
      <c r="L68" s="65" t="s">
        <v>434</v>
      </c>
      <c r="M68" s="68" t="s">
        <v>434</v>
      </c>
      <c r="N68" s="213"/>
      <c r="P68" s="155">
        <v>53</v>
      </c>
      <c r="Q68" s="155">
        <v>20</v>
      </c>
      <c r="R68" s="17"/>
      <c r="S68" s="17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x14ac:dyDescent="0.2">
      <c r="A69" s="34">
        <f>RANK(F69,$F$7:$F$172,0)</f>
        <v>61</v>
      </c>
      <c r="B69" s="31" t="s">
        <v>80</v>
      </c>
      <c r="C69" s="9" t="s">
        <v>8</v>
      </c>
      <c r="D6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69" s="27">
        <f>IFERROR(VLOOKUP(B69,IF(IFERROR(VLOOKUP(B69,'&gt; Women &lt;'!$D$7:$F$1014,2,0),0)&gt;1,'&gt; Women &lt;'!$D$7:$H$1014,'&gt; Open &lt;'!$D$7:$H$1044),3,0)," ")</f>
        <v>0</v>
      </c>
      <c r="F69" s="110">
        <f>SUM(G69:J69)</f>
        <v>198</v>
      </c>
      <c r="G69" s="110">
        <f>IFERROR(VLOOKUP(Mixed[[#This Row],[SM PO MI Rang]],$P$15:$Q$110,2,0)*G$5,"")</f>
        <v>198</v>
      </c>
      <c r="H69" s="110" t="str">
        <f>IFERROR(VLOOKUP(Mixed[[#This Row],[TS SH MI Rang]],$P$15:$Q$110,2,0)*H$5,"")</f>
        <v/>
      </c>
      <c r="I69" s="110" t="str">
        <f>IFERROR(VLOOKUP(Mixed[[#This Row],[TS BE MI Rang]],$P$15:$Q$110,2,0)*I$5,"")</f>
        <v/>
      </c>
      <c r="J69" s="109" t="str">
        <f>IFERROR(VLOOKUP(Mixed[[#This Row],[TS BA Mi 07.05.22 Rang]],$P$15:$Q$110,2,0)*J$5,"")</f>
        <v/>
      </c>
      <c r="K69" s="65">
        <v>12</v>
      </c>
      <c r="L69" s="65" t="s">
        <v>434</v>
      </c>
      <c r="M69" s="68" t="s">
        <v>434</v>
      </c>
      <c r="N69" s="213"/>
      <c r="P69" s="155">
        <v>54</v>
      </c>
      <c r="Q69" s="155">
        <v>20</v>
      </c>
      <c r="R69" s="17"/>
      <c r="S69" s="17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x14ac:dyDescent="0.2">
      <c r="A70" s="11">
        <f>RANK(F70,$F$7:$F$172,0)</f>
        <v>61</v>
      </c>
      <c r="B70" s="31" t="s">
        <v>23</v>
      </c>
      <c r="C70" s="9" t="s">
        <v>0</v>
      </c>
      <c r="D7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0" s="27">
        <f>IFERROR(VLOOKUP(B70,IF(IFERROR(VLOOKUP(B70,'&gt; Women &lt;'!$D$7:$F$1014,2,0),0)&gt;1,'&gt; Women &lt;'!$D$7:$H$1014,'&gt; Open &lt;'!$D$7:$H$1044),3,0)," ")</f>
        <v>1359.8</v>
      </c>
      <c r="F70" s="109">
        <f>SUM(G70:J70)</f>
        <v>198</v>
      </c>
      <c r="G70" s="109">
        <f>IFERROR(VLOOKUP(Mixed[[#This Row],[SM PO MI Rang]],$P$15:$Q$110,2,0)*G$5,"")</f>
        <v>198</v>
      </c>
      <c r="H70" s="109" t="str">
        <f>IFERROR(VLOOKUP(Mixed[[#This Row],[TS SH MI Rang]],$P$15:$Q$110,2,0)*H$5,"")</f>
        <v/>
      </c>
      <c r="I70" s="109" t="str">
        <f>IFERROR(VLOOKUP(Mixed[[#This Row],[TS BE MI Rang]],$P$15:$Q$110,2,0)*I$5,"")</f>
        <v/>
      </c>
      <c r="J70" s="109" t="str">
        <f>IFERROR(VLOOKUP(Mixed[[#This Row],[TS BA Mi 07.05.22 Rang]],$P$15:$Q$110,2,0)*J$5,"")</f>
        <v/>
      </c>
      <c r="K70" s="70">
        <v>9</v>
      </c>
      <c r="L70" s="65" t="s">
        <v>434</v>
      </c>
      <c r="M70" s="68" t="s">
        <v>434</v>
      </c>
      <c r="N70" s="213"/>
      <c r="P70" s="155">
        <v>55</v>
      </c>
      <c r="Q70" s="155">
        <v>20</v>
      </c>
      <c r="R70" s="17"/>
      <c r="S70" s="17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x14ac:dyDescent="0.2">
      <c r="A71" s="11">
        <f>RANK(F71,$F$7:$F$172,0)</f>
        <v>61</v>
      </c>
      <c r="B71" s="28" t="s">
        <v>294</v>
      </c>
      <c r="C71" s="9" t="s">
        <v>0</v>
      </c>
      <c r="D7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1" s="27">
        <f>IFERROR(VLOOKUP(B71,IF(IFERROR(VLOOKUP(B71,'&gt; Women &lt;'!$D$7:$F$1014,2,0),0)&gt;1,'&gt; Women &lt;'!$D$7:$H$1014,'&gt; Open &lt;'!$D$7:$H$1044),3,0)," ")</f>
        <v>249.5</v>
      </c>
      <c r="F71" s="109">
        <f>SUM(G71:J71)</f>
        <v>198</v>
      </c>
      <c r="G71" s="109">
        <f>IFERROR(VLOOKUP(Mixed[[#This Row],[SM PO MI Rang]],$P$15:$Q$110,2,0)*G$5,"")</f>
        <v>198</v>
      </c>
      <c r="H71" s="109" t="str">
        <f>IFERROR(VLOOKUP(Mixed[[#This Row],[TS SH MI Rang]],$P$15:$Q$110,2,0)*H$5,"")</f>
        <v/>
      </c>
      <c r="I71" s="109" t="str">
        <f>IFERROR(VLOOKUP(Mixed[[#This Row],[TS BE MI Rang]],$P$15:$Q$110,2,0)*I$5,"")</f>
        <v/>
      </c>
      <c r="J71" s="109" t="str">
        <f>IFERROR(VLOOKUP(Mixed[[#This Row],[TS BA Mi 07.05.22 Rang]],$P$15:$Q$110,2,0)*J$5,"")</f>
        <v/>
      </c>
      <c r="K71" s="65">
        <v>9</v>
      </c>
      <c r="L71" s="65" t="s">
        <v>434</v>
      </c>
      <c r="M71" s="68" t="s">
        <v>434</v>
      </c>
      <c r="N71" s="213"/>
      <c r="P71" s="155">
        <v>56</v>
      </c>
      <c r="Q71" s="155">
        <v>20</v>
      </c>
      <c r="R71" s="17"/>
      <c r="S71" s="17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x14ac:dyDescent="0.2">
      <c r="A72" s="11">
        <f>RANK(F72,$F$7:$F$172,0)</f>
        <v>66</v>
      </c>
      <c r="B72" s="13" t="s">
        <v>346</v>
      </c>
      <c r="C72" s="13" t="s">
        <v>10</v>
      </c>
      <c r="D7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2" s="27" t="str">
        <f>IFERROR(VLOOKUP(B72,IF(IFERROR(VLOOKUP(B72,'&gt; Women &lt;'!$D$7:$F$1014,2,0),0)&gt;1,'&gt; Women &lt;'!$D$7:$H$1014,'&gt; Open &lt;'!$D$7:$H$1044),3,0)," ")</f>
        <v xml:space="preserve"> </v>
      </c>
      <c r="F72" s="109">
        <f>SUM(G72:J72)</f>
        <v>190</v>
      </c>
      <c r="G72" s="109" t="str">
        <f>IFERROR(VLOOKUP(Mixed[[#This Row],[SM PO MI Rang]],$P$15:$Q$110,2,0)*G$5,"")</f>
        <v/>
      </c>
      <c r="H72" s="109" t="str">
        <f>IFERROR(VLOOKUP(Mixed[[#This Row],[TS SH MI Rang]],$P$15:$Q$110,2,0)*H$5,"")</f>
        <v/>
      </c>
      <c r="I72" s="109">
        <f>IFERROR(VLOOKUP(Mixed[[#This Row],[TS BE MI Rang]],$P$15:$Q$110,2,0)*I$5,"")</f>
        <v>190</v>
      </c>
      <c r="J72" s="109" t="str">
        <f>IFERROR(VLOOKUP(Mixed[[#This Row],[TS BA Mi 07.05.22 Rang]],$P$15:$Q$110,2,0)*J$5,"")</f>
        <v/>
      </c>
      <c r="K72" s="65" t="s">
        <v>434</v>
      </c>
      <c r="L72" s="65" t="s">
        <v>434</v>
      </c>
      <c r="M72" s="68">
        <v>16</v>
      </c>
      <c r="N72" s="213"/>
      <c r="P72" s="155">
        <v>57</v>
      </c>
      <c r="Q72" s="155">
        <v>20</v>
      </c>
      <c r="R72" s="17"/>
      <c r="S72" s="17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x14ac:dyDescent="0.2">
      <c r="A73" s="11">
        <f>RANK(F73,$F$7:$F$172,0)</f>
        <v>66</v>
      </c>
      <c r="B73" s="9" t="s">
        <v>345</v>
      </c>
      <c r="C73" s="9" t="s">
        <v>11</v>
      </c>
      <c r="D7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3" s="27" t="str">
        <f>IFERROR(VLOOKUP(B73,IF(IFERROR(VLOOKUP(B73,'&gt; Women &lt;'!$D$7:$F$1014,2,0),0)&gt;1,'&gt; Women &lt;'!$D$7:$H$1014,'&gt; Open &lt;'!$D$7:$H$1044),3,0)," ")</f>
        <v xml:space="preserve"> </v>
      </c>
      <c r="F73" s="109">
        <f>SUM(G73:J73)</f>
        <v>190</v>
      </c>
      <c r="G73" s="109" t="str">
        <f>IFERROR(VLOOKUP(Mixed[[#This Row],[SM PO MI Rang]],$P$15:$Q$110,2,0)*G$5,"")</f>
        <v/>
      </c>
      <c r="H73" s="109" t="str">
        <f>IFERROR(VLOOKUP(Mixed[[#This Row],[TS SH MI Rang]],$P$15:$Q$110,2,0)*H$5,"")</f>
        <v/>
      </c>
      <c r="I73" s="109">
        <f>IFERROR(VLOOKUP(Mixed[[#This Row],[TS BE MI Rang]],$P$15:$Q$110,2,0)*I$5,"")</f>
        <v>190</v>
      </c>
      <c r="J73" s="109" t="str">
        <f>IFERROR(VLOOKUP(Mixed[[#This Row],[TS BA Mi 07.05.22 Rang]],$P$15:$Q$110,2,0)*J$5,"")</f>
        <v/>
      </c>
      <c r="K73" s="65" t="s">
        <v>434</v>
      </c>
      <c r="L73" s="65" t="s">
        <v>434</v>
      </c>
      <c r="M73" s="68">
        <v>14</v>
      </c>
      <c r="N73" s="213"/>
      <c r="P73" s="155">
        <v>58</v>
      </c>
      <c r="Q73" s="155">
        <v>20</v>
      </c>
      <c r="R73" s="17"/>
      <c r="S73" s="17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x14ac:dyDescent="0.2">
      <c r="A74" s="34">
        <f>RANK(F74,$F$7:$F$172,0)</f>
        <v>66</v>
      </c>
      <c r="B74" s="31" t="s">
        <v>50</v>
      </c>
      <c r="C74" s="9" t="s">
        <v>7</v>
      </c>
      <c r="D7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4" s="27">
        <f>IFERROR(VLOOKUP(B74,IF(IFERROR(VLOOKUP(B74,'&gt; Women &lt;'!$D$7:$F$1014,2,0),0)&gt;1,'&gt; Women &lt;'!$D$7:$H$1014,'&gt; Open &lt;'!$D$7:$H$1044),3,0)," ")</f>
        <v>4482</v>
      </c>
      <c r="F74" s="110">
        <f>SUM(G74:J74)</f>
        <v>190</v>
      </c>
      <c r="G74" s="110" t="str">
        <f>IFERROR(VLOOKUP(Mixed[[#This Row],[SM PO MI Rang]],$P$15:$Q$110,2,0)*G$5,"")</f>
        <v/>
      </c>
      <c r="H74" s="110" t="str">
        <f>IFERROR(VLOOKUP(Mixed[[#This Row],[TS SH MI Rang]],$P$15:$Q$110,2,0)*H$5,"")</f>
        <v/>
      </c>
      <c r="I74" s="110">
        <f>IFERROR(VLOOKUP(Mixed[[#This Row],[TS BE MI Rang]],$P$15:$Q$110,2,0)*I$5,"")</f>
        <v>190</v>
      </c>
      <c r="J74" s="109" t="str">
        <f>IFERROR(VLOOKUP(Mixed[[#This Row],[TS BA Mi 07.05.22 Rang]],$P$15:$Q$110,2,0)*J$5,"")</f>
        <v/>
      </c>
      <c r="K74" s="65" t="s">
        <v>434</v>
      </c>
      <c r="L74" s="65" t="s">
        <v>434</v>
      </c>
      <c r="M74" s="69">
        <v>13</v>
      </c>
      <c r="N74" s="213"/>
      <c r="O74" s="41"/>
      <c r="P74" s="163">
        <v>59</v>
      </c>
      <c r="Q74" s="163">
        <v>20</v>
      </c>
      <c r="R74" s="161"/>
      <c r="S74" s="16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x14ac:dyDescent="0.2">
      <c r="A75" s="11">
        <f>RANK(F75,$F$7:$F$172,0)</f>
        <v>66</v>
      </c>
      <c r="B75" s="31" t="s">
        <v>39</v>
      </c>
      <c r="C75" s="9" t="s">
        <v>7</v>
      </c>
      <c r="D7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5" s="27">
        <f>IFERROR(VLOOKUP(B75,IF(IFERROR(VLOOKUP(B75,'&gt; Women &lt;'!$D$7:$F$1014,2,0),0)&gt;1,'&gt; Women &lt;'!$D$7:$H$1014,'&gt; Open &lt;'!$D$7:$H$1044),3,0)," ")</f>
        <v>122.80000000000001</v>
      </c>
      <c r="F75" s="109">
        <f>SUM(G75:J75)</f>
        <v>190</v>
      </c>
      <c r="G75" s="171" t="str">
        <f>IFERROR(VLOOKUP(Mixed[[#This Row],[SM PO MI Rang]],$P$15:$Q$110,2,0)*G$5,"")</f>
        <v/>
      </c>
      <c r="H75" s="171" t="str">
        <f>IFERROR(VLOOKUP(Mixed[[#This Row],[TS SH MI Rang]],$P$15:$Q$110,2,0)*H$5,"")</f>
        <v/>
      </c>
      <c r="I75" s="109">
        <f>IFERROR(VLOOKUP(Mixed[[#This Row],[TS BE MI Rang]],$P$15:$Q$110,2,0)*I$5,"")</f>
        <v>190</v>
      </c>
      <c r="J75" s="109" t="str">
        <f>IFERROR(VLOOKUP(Mixed[[#This Row],[TS BA Mi 07.05.22 Rang]],$P$15:$Q$110,2,0)*J$5,"")</f>
        <v/>
      </c>
      <c r="K75" s="65" t="s">
        <v>434</v>
      </c>
      <c r="L75" s="65" t="s">
        <v>434</v>
      </c>
      <c r="M75" s="68">
        <v>13</v>
      </c>
      <c r="N75" s="213"/>
      <c r="P75" s="155">
        <v>60</v>
      </c>
      <c r="Q75" s="155">
        <v>20</v>
      </c>
      <c r="R75" s="17"/>
      <c r="S75" s="17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x14ac:dyDescent="0.2">
      <c r="A76" s="34">
        <f>RANK(F76,$F$7:$F$172,0)</f>
        <v>66</v>
      </c>
      <c r="B76" s="31" t="s">
        <v>65</v>
      </c>
      <c r="C76" s="12" t="s">
        <v>7</v>
      </c>
      <c r="D7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6" s="27">
        <f>IFERROR(VLOOKUP(B76,IF(IFERROR(VLOOKUP(B76,'&gt; Women &lt;'!$D$7:$F$1014,2,0),0)&gt;1,'&gt; Women &lt;'!$D$7:$H$1014,'&gt; Open &lt;'!$D$7:$H$1044),3,0)," ")</f>
        <v>402.79999999999995</v>
      </c>
      <c r="F76" s="110">
        <f>SUM(G76:J76)</f>
        <v>190</v>
      </c>
      <c r="G76" s="110" t="str">
        <f>IFERROR(VLOOKUP(Mixed[[#This Row],[SM PO MI Rang]],$P$15:$Q$110,2,0)*G$5,"")</f>
        <v/>
      </c>
      <c r="H76" s="110" t="str">
        <f>IFERROR(VLOOKUP(Mixed[[#This Row],[TS SH MI Rang]],$P$15:$Q$110,2,0)*H$5,"")</f>
        <v/>
      </c>
      <c r="I76" s="110">
        <f>IFERROR(VLOOKUP(Mixed[[#This Row],[TS BE MI Rang]],$P$15:$Q$110,2,0)*I$5,"")</f>
        <v>190</v>
      </c>
      <c r="J76" s="109" t="str">
        <f>IFERROR(VLOOKUP(Mixed[[#This Row],[TS BA Mi 07.05.22 Rang]],$P$15:$Q$110,2,0)*J$5,"")</f>
        <v/>
      </c>
      <c r="K76" s="65" t="s">
        <v>434</v>
      </c>
      <c r="L76" s="65" t="s">
        <v>434</v>
      </c>
      <c r="M76" s="69">
        <v>12</v>
      </c>
      <c r="N76" s="213"/>
      <c r="P76" s="155">
        <v>61</v>
      </c>
      <c r="Q76" s="155">
        <v>20</v>
      </c>
      <c r="R76" s="17"/>
      <c r="S76" s="17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x14ac:dyDescent="0.2">
      <c r="A77" s="34">
        <f>RANK(F77,$F$7:$F$172,0)</f>
        <v>66</v>
      </c>
      <c r="B77" s="31" t="s">
        <v>52</v>
      </c>
      <c r="C77" s="9" t="s">
        <v>17</v>
      </c>
      <c r="D7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7" s="27">
        <f>IFERROR(VLOOKUP(B77,IF(IFERROR(VLOOKUP(B77,'&gt; Women &lt;'!$D$7:$F$1014,2,0),0)&gt;1,'&gt; Women &lt;'!$D$7:$H$1014,'&gt; Open &lt;'!$D$7:$H$1044),3,0)," ")</f>
        <v>2796</v>
      </c>
      <c r="F77" s="110">
        <f>SUM(G77:J77)</f>
        <v>190</v>
      </c>
      <c r="G77" s="110" t="str">
        <f>IFERROR(VLOOKUP(Mixed[[#This Row],[SM PO MI Rang]],$P$15:$Q$110,2,0)*G$5,"")</f>
        <v/>
      </c>
      <c r="H77" s="110" t="str">
        <f>IFERROR(VLOOKUP(Mixed[[#This Row],[TS SH MI Rang]],$P$15:$Q$110,2,0)*H$5,"")</f>
        <v/>
      </c>
      <c r="I77" s="110">
        <f>IFERROR(VLOOKUP(Mixed[[#This Row],[TS BE MI Rang]],$P$15:$Q$110,2,0)*I$5,"")</f>
        <v>190</v>
      </c>
      <c r="J77" s="109" t="str">
        <f>IFERROR(VLOOKUP(Mixed[[#This Row],[TS BA Mi 07.05.22 Rang]],$P$15:$Q$110,2,0)*J$5,"")</f>
        <v/>
      </c>
      <c r="K77" s="65" t="s">
        <v>434</v>
      </c>
      <c r="L77" s="65" t="s">
        <v>434</v>
      </c>
      <c r="M77" s="69">
        <v>11</v>
      </c>
      <c r="N77" s="213"/>
      <c r="P77" s="155">
        <v>62</v>
      </c>
      <c r="Q77" s="155">
        <v>20</v>
      </c>
      <c r="R77" s="17"/>
      <c r="S77" s="17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x14ac:dyDescent="0.2">
      <c r="A78" s="11">
        <f>RANK(F78,$F$7:$F$172,0)</f>
        <v>66</v>
      </c>
      <c r="B78" s="25" t="s">
        <v>221</v>
      </c>
      <c r="C78" t="s">
        <v>17</v>
      </c>
      <c r="D7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8" s="27">
        <f>IFERROR(VLOOKUP(B78,IF(IFERROR(VLOOKUP(B78,'&gt; Women &lt;'!$D$7:$F$1014,2,0),0)&gt;1,'&gt; Women &lt;'!$D$7:$H$1014,'&gt; Open &lt;'!$D$7:$H$1044),3,0)," ")</f>
        <v>0</v>
      </c>
      <c r="F78" s="109">
        <f>SUM(G78:J78)</f>
        <v>190</v>
      </c>
      <c r="G78" s="109" t="str">
        <f>IFERROR(VLOOKUP(Mixed[[#This Row],[SM PO MI Rang]],$P$15:$Q$110,2,0)*G$5,"")</f>
        <v/>
      </c>
      <c r="H78" s="109" t="str">
        <f>IFERROR(VLOOKUP(Mixed[[#This Row],[TS SH MI Rang]],$P$15:$Q$110,2,0)*H$5,"")</f>
        <v/>
      </c>
      <c r="I78" s="109">
        <f>IFERROR(VLOOKUP(Mixed[[#This Row],[TS BE MI Rang]],$P$15:$Q$110,2,0)*I$5,"")</f>
        <v>190</v>
      </c>
      <c r="J78" s="109" t="str">
        <f>IFERROR(VLOOKUP(Mixed[[#This Row],[TS BA Mi 07.05.22 Rang]],$P$15:$Q$110,2,0)*J$5,"")</f>
        <v/>
      </c>
      <c r="K78" s="65" t="s">
        <v>434</v>
      </c>
      <c r="L78" s="65" t="s">
        <v>434</v>
      </c>
      <c r="M78" s="68">
        <v>11</v>
      </c>
      <c r="N78" s="213"/>
      <c r="P78" s="155">
        <v>63</v>
      </c>
      <c r="Q78" s="155">
        <v>20</v>
      </c>
      <c r="R78" s="17"/>
      <c r="S78" s="17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x14ac:dyDescent="0.2">
      <c r="A79" s="34">
        <f>RANK(F79,$F$7:$F$172,0)</f>
        <v>66</v>
      </c>
      <c r="B79" s="31" t="s">
        <v>51</v>
      </c>
      <c r="C79" s="9" t="s">
        <v>17</v>
      </c>
      <c r="D7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79" s="27">
        <f>IFERROR(VLOOKUP(B79,IF(IFERROR(VLOOKUP(B79,'&gt; Women &lt;'!$D$7:$F$1014,2,0),0)&gt;1,'&gt; Women &lt;'!$D$7:$H$1014,'&gt; Open &lt;'!$D$7:$H$1044),3,0)," ")</f>
        <v>1996</v>
      </c>
      <c r="F79" s="110">
        <f>SUM(G79:J79)</f>
        <v>190</v>
      </c>
      <c r="G79" s="110" t="str">
        <f>IFERROR(VLOOKUP(Mixed[[#This Row],[SM PO MI Rang]],$P$15:$Q$110,2,0)*G$5,"")</f>
        <v/>
      </c>
      <c r="H79" s="110" t="str">
        <f>IFERROR(VLOOKUP(Mixed[[#This Row],[TS SH MI Rang]],$P$15:$Q$110,2,0)*H$5,"")</f>
        <v/>
      </c>
      <c r="I79" s="110">
        <f>IFERROR(VLOOKUP(Mixed[[#This Row],[TS BE MI Rang]],$P$15:$Q$110,2,0)*I$5,"")</f>
        <v>190</v>
      </c>
      <c r="J79" s="109" t="str">
        <f>IFERROR(VLOOKUP(Mixed[[#This Row],[TS BA Mi 07.05.22 Rang]],$P$15:$Q$110,2,0)*J$5,"")</f>
        <v/>
      </c>
      <c r="K79" s="65" t="s">
        <v>434</v>
      </c>
      <c r="L79" s="65" t="s">
        <v>434</v>
      </c>
      <c r="M79" s="69">
        <v>10</v>
      </c>
      <c r="N79" s="213"/>
      <c r="P79" s="155">
        <v>64</v>
      </c>
      <c r="Q79" s="155">
        <v>20</v>
      </c>
      <c r="R79" s="17"/>
      <c r="S79" s="17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x14ac:dyDescent="0.2">
      <c r="A80" s="11">
        <f>RANK(F80,$F$7:$F$172,0)</f>
        <v>66</v>
      </c>
      <c r="B80" s="15" t="s">
        <v>126</v>
      </c>
      <c r="C80" s="9" t="s">
        <v>17</v>
      </c>
      <c r="D8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0" s="27">
        <f>IFERROR(VLOOKUP(B80,IF(IFERROR(VLOOKUP(B80,'&gt; Women &lt;'!$D$7:$F$1014,2,0),0)&gt;1,'&gt; Women &lt;'!$D$7:$H$1014,'&gt; Open &lt;'!$D$7:$H$1044),3,0)," ")</f>
        <v>104.8</v>
      </c>
      <c r="F80" s="109">
        <f>SUM(G80:J80)</f>
        <v>190</v>
      </c>
      <c r="G80" s="171" t="str">
        <f>IFERROR(VLOOKUP(Mixed[[#This Row],[SM PO MI Rang]],$P$15:$Q$110,2,0)*G$5,"")</f>
        <v/>
      </c>
      <c r="H80" s="109" t="str">
        <f>IFERROR(VLOOKUP(Mixed[[#This Row],[TS SH MI Rang]],$P$15:$Q$110,2,0)*H$5,"")</f>
        <v/>
      </c>
      <c r="I80" s="109">
        <f>IFERROR(VLOOKUP(Mixed[[#This Row],[TS BE MI Rang]],$P$15:$Q$110,2,0)*I$5,"")</f>
        <v>190</v>
      </c>
      <c r="J80" s="109" t="str">
        <f>IFERROR(VLOOKUP(Mixed[[#This Row],[TS BA Mi 07.05.22 Rang]],$P$15:$Q$110,2,0)*J$5,"")</f>
        <v/>
      </c>
      <c r="K80" s="65" t="s">
        <v>434</v>
      </c>
      <c r="L80" s="65" t="s">
        <v>434</v>
      </c>
      <c r="M80" s="68">
        <v>10</v>
      </c>
      <c r="N80" s="213"/>
      <c r="P80" s="155">
        <v>65</v>
      </c>
      <c r="Q80" s="155">
        <v>10</v>
      </c>
      <c r="R80" s="17"/>
      <c r="S80" s="17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x14ac:dyDescent="0.2">
      <c r="A81" s="11">
        <f>RANK(F81,$F$7:$F$172,0)</f>
        <v>75</v>
      </c>
      <c r="B81" s="25" t="s">
        <v>310</v>
      </c>
      <c r="C81" s="16" t="s">
        <v>0</v>
      </c>
      <c r="D8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1" s="27" t="str">
        <f>IFERROR(VLOOKUP(B81,IF(IFERROR(VLOOKUP(B81,'&gt; Women &lt;'!$D$7:$F$1014,2,0),0)&gt;1,'&gt; Women &lt;'!$D$7:$H$1014,'&gt; Open &lt;'!$D$7:$H$1044),3,0)," ")</f>
        <v xml:space="preserve"> </v>
      </c>
      <c r="F81" s="109">
        <f>SUM(G81:J81)</f>
        <v>182</v>
      </c>
      <c r="G81" s="109" t="str">
        <f>IFERROR(VLOOKUP(Mixed[[#This Row],[SM PO MI Rang]],$P$15:$Q$110,2,0)*G$5,"")</f>
        <v/>
      </c>
      <c r="H81" s="109">
        <f>IFERROR(VLOOKUP(Mixed[[#This Row],[TS SH MI Rang]],$P$15:$Q$110,2,0)*H$5,"")</f>
        <v>182</v>
      </c>
      <c r="I81" s="109" t="str">
        <f>IFERROR(VLOOKUP(Mixed[[#This Row],[TS BE MI Rang]],$P$15:$Q$110,2,0)*I$5,"")</f>
        <v/>
      </c>
      <c r="J81" s="109" t="str">
        <f>IFERROR(VLOOKUP(Mixed[[#This Row],[TS BA Mi 07.05.22 Rang]],$P$15:$Q$110,2,0)*J$5,"")</f>
        <v/>
      </c>
      <c r="K81" s="65" t="s">
        <v>434</v>
      </c>
      <c r="L81" s="65">
        <v>16</v>
      </c>
      <c r="M81" s="77" t="s">
        <v>434</v>
      </c>
      <c r="N81" s="214"/>
      <c r="O81" s="41"/>
      <c r="P81" s="163">
        <v>66</v>
      </c>
      <c r="Q81" s="163">
        <v>10</v>
      </c>
      <c r="R81" s="161"/>
      <c r="S81" s="16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x14ac:dyDescent="0.2">
      <c r="A82" s="11">
        <f>RANK(F82,$F$7:$F$172,0)</f>
        <v>75</v>
      </c>
      <c r="B82" s="25" t="s">
        <v>309</v>
      </c>
      <c r="C82" s="29" t="s">
        <v>10</v>
      </c>
      <c r="D8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2" s="27">
        <f>IFERROR(VLOOKUP(B82,IF(IFERROR(VLOOKUP(B82,'&gt; Women &lt;'!$D$7:$F$1014,2,0),0)&gt;1,'&gt; Women &lt;'!$D$7:$H$1014,'&gt; Open &lt;'!$D$7:$H$1044),3,0)," ")</f>
        <v>105.5</v>
      </c>
      <c r="F82" s="109">
        <f>SUM(G82:J82)</f>
        <v>182</v>
      </c>
      <c r="G82" s="109" t="str">
        <f>IFERROR(VLOOKUP(Mixed[[#This Row],[SM PO MI Rang]],$P$15:$Q$110,2,0)*G$5,"")</f>
        <v/>
      </c>
      <c r="H82" s="109">
        <f>IFERROR(VLOOKUP(Mixed[[#This Row],[TS SH MI Rang]],$P$15:$Q$110,2,0)*H$5,"")</f>
        <v>182</v>
      </c>
      <c r="I82" s="109" t="str">
        <f>IFERROR(VLOOKUP(Mixed[[#This Row],[TS BE MI Rang]],$P$15:$Q$110,2,0)*I$5,"")</f>
        <v/>
      </c>
      <c r="J82" s="109" t="str">
        <f>IFERROR(VLOOKUP(Mixed[[#This Row],[TS BA Mi 07.05.22 Rang]],$P$15:$Q$110,2,0)*J$5,"")</f>
        <v/>
      </c>
      <c r="K82" s="65" t="s">
        <v>434</v>
      </c>
      <c r="L82" s="65">
        <v>15</v>
      </c>
      <c r="M82" s="68" t="s">
        <v>434</v>
      </c>
      <c r="N82" s="213"/>
      <c r="P82" s="155">
        <v>67</v>
      </c>
      <c r="Q82" s="155">
        <v>10</v>
      </c>
      <c r="R82" s="17"/>
      <c r="S82" s="17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x14ac:dyDescent="0.2">
      <c r="A83" s="34">
        <f>RANK(F83,$F$7:$F$172,0)</f>
        <v>75</v>
      </c>
      <c r="B83" s="31" t="s">
        <v>56</v>
      </c>
      <c r="C83" s="9" t="s">
        <v>10</v>
      </c>
      <c r="D8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3" s="27">
        <f>IFERROR(VLOOKUP(B83,IF(IFERROR(VLOOKUP(B83,'&gt; Women &lt;'!$D$7:$F$1014,2,0),0)&gt;1,'&gt; Women &lt;'!$D$7:$H$1014,'&gt; Open &lt;'!$D$7:$H$1044),3,0)," ")</f>
        <v>581.69999999999993</v>
      </c>
      <c r="F83" s="110">
        <f>SUM(G83:J83)</f>
        <v>182</v>
      </c>
      <c r="G83" s="110" t="str">
        <f>IFERROR(VLOOKUP(Mixed[[#This Row],[SM PO MI Rang]],$P$15:$Q$110,2,0)*G$5,"")</f>
        <v/>
      </c>
      <c r="H83" s="110">
        <f>IFERROR(VLOOKUP(Mixed[[#This Row],[TS SH MI Rang]],$P$15:$Q$110,2,0)*H$5,"")</f>
        <v>182</v>
      </c>
      <c r="I83" s="110" t="str">
        <f>IFERROR(VLOOKUP(Mixed[[#This Row],[TS BE MI Rang]],$P$15:$Q$110,2,0)*I$5,"")</f>
        <v/>
      </c>
      <c r="J83" s="109" t="str">
        <f>IFERROR(VLOOKUP(Mixed[[#This Row],[TS BA Mi 07.05.22 Rang]],$P$15:$Q$110,2,0)*J$5,"")</f>
        <v/>
      </c>
      <c r="K83" s="65" t="s">
        <v>434</v>
      </c>
      <c r="L83" s="65">
        <v>14</v>
      </c>
      <c r="M83" s="68" t="s">
        <v>434</v>
      </c>
      <c r="N83" s="213"/>
      <c r="P83" s="155">
        <v>68</v>
      </c>
      <c r="Q83" s="155">
        <v>10</v>
      </c>
      <c r="R83" s="17"/>
      <c r="S83" s="17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x14ac:dyDescent="0.2">
      <c r="A84" s="34">
        <f>RANK(F84,$F$7:$F$172,0)</f>
        <v>75</v>
      </c>
      <c r="B84" s="31" t="s">
        <v>92</v>
      </c>
      <c r="C84" s="9" t="s">
        <v>11</v>
      </c>
      <c r="D8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84" s="27">
        <f>IFERROR(VLOOKUP(B84,IF(IFERROR(VLOOKUP(B84,'&gt; Women &lt;'!$D$7:$F$1014,2,0),0)&gt;1,'&gt; Women &lt;'!$D$7:$H$1014,'&gt; Open &lt;'!$D$7:$H$1044),3,0)," ")</f>
        <v>368.4</v>
      </c>
      <c r="F84" s="110">
        <f>SUM(G84:J84)</f>
        <v>182</v>
      </c>
      <c r="G84" s="110" t="str">
        <f>IFERROR(VLOOKUP(Mixed[[#This Row],[SM PO MI Rang]],$P$15:$Q$110,2,0)*G$5,"")</f>
        <v/>
      </c>
      <c r="H84" s="110">
        <f>IFERROR(VLOOKUP(Mixed[[#This Row],[TS SH MI Rang]],$P$15:$Q$110,2,0)*H$5,"")</f>
        <v>182</v>
      </c>
      <c r="I84" s="110" t="str">
        <f>IFERROR(VLOOKUP(Mixed[[#This Row],[TS BE MI Rang]],$P$15:$Q$110,2,0)*I$5,"")</f>
        <v/>
      </c>
      <c r="J84" s="109" t="str">
        <f>IFERROR(VLOOKUP(Mixed[[#This Row],[TS BA Mi 07.05.22 Rang]],$P$15:$Q$110,2,0)*J$5,"")</f>
        <v/>
      </c>
      <c r="K84" s="65" t="s">
        <v>434</v>
      </c>
      <c r="L84" s="65">
        <v>12</v>
      </c>
      <c r="M84" s="68" t="s">
        <v>434</v>
      </c>
      <c r="N84" s="213"/>
      <c r="P84" s="155">
        <v>69</v>
      </c>
      <c r="Q84" s="155">
        <v>10</v>
      </c>
      <c r="R84" s="17"/>
      <c r="S84" s="17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x14ac:dyDescent="0.2">
      <c r="A85" s="34">
        <f>RANK(F85,$F$7:$F$172,0)</f>
        <v>79</v>
      </c>
      <c r="B85" s="11" t="s">
        <v>143</v>
      </c>
      <c r="D85" s="34" t="str">
        <f>IFERROR(VLOOKUP(B85,IF(IFERROR(VLOOKUP(B85,#REF!,5,0),0)&gt;1,#REF!,#REF!),4,0)," ")</f>
        <v xml:space="preserve"> </v>
      </c>
      <c r="E85" s="216">
        <f>IFERROR(VLOOKUP(B85,IF(IFERROR(VLOOKUP(B85,'&gt; Women &lt;'!$D$7:$F$1014,2,0),0)&gt;1,'&gt; Women &lt;'!$D$7:$H$1014,'&gt; Open &lt;'!$D$7:$H$1044),3,0)," ")</f>
        <v>1528.9</v>
      </c>
      <c r="F85" s="110">
        <f>SUM(G85:J85)</f>
        <v>146</v>
      </c>
      <c r="G85" s="34" t="str">
        <f>IFERROR(VLOOKUP(Mixed[[#This Row],[SM PO MI Rang]],$P$15:$Q$110,2,0)*G$5,"")</f>
        <v/>
      </c>
      <c r="H85" s="34" t="str">
        <f>IFERROR(VLOOKUP(Mixed[[#This Row],[TS SH MI Rang]],$P$15:$Q$110,2,0)*H$5,"")</f>
        <v/>
      </c>
      <c r="I85" s="34" t="str">
        <f>IFERROR(VLOOKUP(Mixed[[#This Row],[TS BE MI Rang]],$P$15:$Q$110,2,0)*I$5,"")</f>
        <v/>
      </c>
      <c r="J85" s="110">
        <f>IFERROR(VLOOKUP(Mixed[[#This Row],[TS BA Mi 07.05.22 Rang]],$P$15:$Q$110,2,0)*J$5,"")</f>
        <v>146</v>
      </c>
      <c r="K85" s="217" t="str">
        <f>IFERROR(VLOOKUP(Mixed[[#This Row],[Name]],#REF!,4,0),"")</f>
        <v/>
      </c>
      <c r="L85" s="217" t="str">
        <f>IFERROR(VLOOKUP(Mixed[[#This Row],[Name]],#REF!,4,0),"")</f>
        <v/>
      </c>
      <c r="M85" s="218" t="str">
        <f>IFERROR(VLOOKUP(Mixed[[#This Row],[Name]],#REF!,4,0),"")</f>
        <v/>
      </c>
      <c r="N85" s="213">
        <v>9</v>
      </c>
      <c r="P85" s="155">
        <v>70</v>
      </c>
      <c r="Q85" s="155">
        <v>10</v>
      </c>
      <c r="R85" s="17"/>
      <c r="S85" s="17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x14ac:dyDescent="0.2">
      <c r="A86" s="34">
        <f>RANK(F86,$F$7:$F$172,0)</f>
        <v>79</v>
      </c>
      <c r="B86" s="11" t="s">
        <v>201</v>
      </c>
      <c r="D86" s="34" t="str">
        <f>IFERROR(VLOOKUP(B86,IF(IFERROR(VLOOKUP(B86,#REF!,5,0),0)&gt;1,#REF!,#REF!),4,0)," ")</f>
        <v xml:space="preserve"> </v>
      </c>
      <c r="E86" s="216">
        <f>IFERROR(VLOOKUP(B86,IF(IFERROR(VLOOKUP(B86,'&gt; Women &lt;'!$D$7:$F$1014,2,0),0)&gt;1,'&gt; Women &lt;'!$D$7:$H$1014,'&gt; Open &lt;'!$D$7:$H$1044),3,0)," ")</f>
        <v>0</v>
      </c>
      <c r="F86" s="110">
        <f>SUM(G86:J86)</f>
        <v>146</v>
      </c>
      <c r="G86" s="34" t="str">
        <f>IFERROR(VLOOKUP(Mixed[[#This Row],[SM PO MI Rang]],$P$15:$Q$110,2,0)*G$5,"")</f>
        <v/>
      </c>
      <c r="H86" s="34" t="str">
        <f>IFERROR(VLOOKUP(Mixed[[#This Row],[TS SH MI Rang]],$P$15:$Q$110,2,0)*H$5,"")</f>
        <v/>
      </c>
      <c r="I86" s="34" t="str">
        <f>IFERROR(VLOOKUP(Mixed[[#This Row],[TS BE MI Rang]],$P$15:$Q$110,2,0)*I$5,"")</f>
        <v/>
      </c>
      <c r="J86" s="110">
        <f>IFERROR(VLOOKUP(Mixed[[#This Row],[TS BA Mi 07.05.22 Rang]],$P$15:$Q$110,2,0)*J$5,"")</f>
        <v>146</v>
      </c>
      <c r="K86" s="217" t="str">
        <f>IFERROR(VLOOKUP(Mixed[[#This Row],[Name]],#REF!,4,0),"")</f>
        <v/>
      </c>
      <c r="L86" s="217" t="str">
        <f>IFERROR(VLOOKUP(Mixed[[#This Row],[Name]],#REF!,4,0),"")</f>
        <v/>
      </c>
      <c r="M86" s="218" t="str">
        <f>IFERROR(VLOOKUP(Mixed[[#This Row],[Name]],#REF!,4,0),"")</f>
        <v/>
      </c>
      <c r="N86" s="213">
        <v>9</v>
      </c>
      <c r="P86" s="155">
        <v>71</v>
      </c>
      <c r="Q86" s="155">
        <v>10</v>
      </c>
      <c r="R86" s="17"/>
      <c r="S86" s="17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x14ac:dyDescent="0.2">
      <c r="A87" s="34">
        <f>RANK(F87,$F$7:$F$172,0)</f>
        <v>79</v>
      </c>
      <c r="B87" s="11" t="s">
        <v>375</v>
      </c>
      <c r="D87" s="34" t="str">
        <f>IFERROR(VLOOKUP(B87,IF(IFERROR(VLOOKUP(B87,#REF!,5,0),0)&gt;1,#REF!,#REF!),4,0)," ")</f>
        <v xml:space="preserve"> </v>
      </c>
      <c r="E87" s="216">
        <f>IFERROR(VLOOKUP(B87,IF(IFERROR(VLOOKUP(B87,'&gt; Women &lt;'!$D$7:$F$1014,2,0),0)&gt;1,'&gt; Women &lt;'!$D$7:$H$1014,'&gt; Open &lt;'!$D$7:$H$1044),3,0)," ")</f>
        <v>346.4</v>
      </c>
      <c r="F87" s="110">
        <f>SUM(G87:J87)</f>
        <v>146</v>
      </c>
      <c r="G87" s="34" t="str">
        <f>IFERROR(VLOOKUP(Mixed[[#This Row],[SM PO MI Rang]],$P$15:$Q$110,2,0)*G$5,"")</f>
        <v/>
      </c>
      <c r="H87" s="34" t="str">
        <f>IFERROR(VLOOKUP(Mixed[[#This Row],[TS SH MI Rang]],$P$15:$Q$110,2,0)*H$5,"")</f>
        <v/>
      </c>
      <c r="I87" s="34" t="str">
        <f>IFERROR(VLOOKUP(Mixed[[#This Row],[TS BE MI Rang]],$P$15:$Q$110,2,0)*I$5,"")</f>
        <v/>
      </c>
      <c r="J87" s="110">
        <f>IFERROR(VLOOKUP(Mixed[[#This Row],[TS BA Mi 07.05.22 Rang]],$P$15:$Q$110,2,0)*J$5,"")</f>
        <v>146</v>
      </c>
      <c r="K87" s="217" t="str">
        <f>IFERROR(VLOOKUP(Mixed[[#This Row],[Name]],#REF!,4,0),"")</f>
        <v/>
      </c>
      <c r="L87" s="217" t="str">
        <f>IFERROR(VLOOKUP(Mixed[[#This Row],[Name]],#REF!,4,0),"")</f>
        <v/>
      </c>
      <c r="M87" s="218" t="str">
        <f>IFERROR(VLOOKUP(Mixed[[#This Row],[Name]],#REF!,4,0),"")</f>
        <v/>
      </c>
      <c r="N87" s="213">
        <v>10</v>
      </c>
      <c r="O87" s="41"/>
      <c r="P87" s="163">
        <v>72</v>
      </c>
      <c r="Q87" s="163">
        <v>10</v>
      </c>
      <c r="R87" s="161"/>
      <c r="S87" s="16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x14ac:dyDescent="0.2">
      <c r="A88" s="34">
        <f>RANK(F88,$F$7:$F$172,0)</f>
        <v>79</v>
      </c>
      <c r="B88" s="11" t="s">
        <v>475</v>
      </c>
      <c r="D88" s="34" t="str">
        <f>IFERROR(VLOOKUP(B88,IF(IFERROR(VLOOKUP(B88,#REF!,5,0),0)&gt;1,#REF!,#REF!),4,0)," ")</f>
        <v xml:space="preserve"> </v>
      </c>
      <c r="E88" s="216">
        <f>IFERROR(VLOOKUP(B88,IF(IFERROR(VLOOKUP(B88,'&gt; Women &lt;'!$D$7:$F$1014,2,0),0)&gt;1,'&gt; Women &lt;'!$D$7:$H$1014,'&gt; Open &lt;'!$D$7:$H$1044),3,0)," ")</f>
        <v>122.80000000000001</v>
      </c>
      <c r="F88" s="110">
        <f>SUM(G88:J88)</f>
        <v>146</v>
      </c>
      <c r="G88" s="34" t="str">
        <f>IFERROR(VLOOKUP(Mixed[[#This Row],[SM PO MI Rang]],$P$15:$Q$110,2,0)*G$5,"")</f>
        <v/>
      </c>
      <c r="H88" s="34" t="str">
        <f>IFERROR(VLOOKUP(Mixed[[#This Row],[TS SH MI Rang]],$P$15:$Q$110,2,0)*H$5,"")</f>
        <v/>
      </c>
      <c r="I88" s="34" t="str">
        <f>IFERROR(VLOOKUP(Mixed[[#This Row],[TS BE MI Rang]],$P$15:$Q$110,2,0)*I$5,"")</f>
        <v/>
      </c>
      <c r="J88" s="110">
        <f>IFERROR(VLOOKUP(Mixed[[#This Row],[TS BA Mi 07.05.22 Rang]],$P$15:$Q$110,2,0)*J$5,"")</f>
        <v>146</v>
      </c>
      <c r="K88" s="217" t="str">
        <f>IFERROR(VLOOKUP(Mixed[[#This Row],[Name]],#REF!,4,0),"")</f>
        <v/>
      </c>
      <c r="L88" s="217" t="str">
        <f>IFERROR(VLOOKUP(Mixed[[#This Row],[Name]],#REF!,4,0),"")</f>
        <v/>
      </c>
      <c r="M88" s="218" t="str">
        <f>IFERROR(VLOOKUP(Mixed[[#This Row],[Name]],#REF!,4,0),"")</f>
        <v/>
      </c>
      <c r="N88" s="213">
        <v>11</v>
      </c>
      <c r="P88" s="155">
        <v>73</v>
      </c>
      <c r="Q88" s="155">
        <v>10</v>
      </c>
      <c r="R88" s="17"/>
      <c r="S88" s="17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x14ac:dyDescent="0.2">
      <c r="A89" s="34">
        <f>RANK(F89,$F$7:$F$172,0)</f>
        <v>79</v>
      </c>
      <c r="B89" s="11" t="s">
        <v>546</v>
      </c>
      <c r="D89" s="34" t="str">
        <f>IFERROR(VLOOKUP(B89,IF(IFERROR(VLOOKUP(B89,#REF!,5,0),0)&gt;1,#REF!,#REF!),4,0)," ")</f>
        <v xml:space="preserve"> </v>
      </c>
      <c r="E89" s="216" t="str">
        <f>IFERROR(VLOOKUP(B89,IF(IFERROR(VLOOKUP(B89,'&gt; Women &lt;'!$D$7:$F$1014,2,0),0)&gt;1,'&gt; Women &lt;'!$D$7:$H$1014,'&gt; Open &lt;'!$D$7:$H$1044),3,0)," ")</f>
        <v xml:space="preserve"> </v>
      </c>
      <c r="F89" s="110">
        <f>SUM(G89:J89)</f>
        <v>146</v>
      </c>
      <c r="G89" s="34" t="str">
        <f>IFERROR(VLOOKUP(Mixed[[#This Row],[SM PO MI Rang]],$P$15:$Q$110,2,0)*G$5,"")</f>
        <v/>
      </c>
      <c r="H89" s="34" t="str">
        <f>IFERROR(VLOOKUP(Mixed[[#This Row],[TS SH MI Rang]],$P$15:$Q$110,2,0)*H$5,"")</f>
        <v/>
      </c>
      <c r="I89" s="34" t="str">
        <f>IFERROR(VLOOKUP(Mixed[[#This Row],[TS BE MI Rang]],$P$15:$Q$110,2,0)*I$5,"")</f>
        <v/>
      </c>
      <c r="J89" s="110">
        <f>IFERROR(VLOOKUP(Mixed[[#This Row],[TS BA Mi 07.05.22 Rang]],$P$15:$Q$110,2,0)*J$5,"")</f>
        <v>146</v>
      </c>
      <c r="K89" s="217" t="str">
        <f>IFERROR(VLOOKUP(Mixed[[#This Row],[Name]],#REF!,4,0),"")</f>
        <v/>
      </c>
      <c r="L89" s="217" t="str">
        <f>IFERROR(VLOOKUP(Mixed[[#This Row],[Name]],#REF!,4,0),"")</f>
        <v/>
      </c>
      <c r="M89" s="218" t="str">
        <f>IFERROR(VLOOKUP(Mixed[[#This Row],[Name]],#REF!,4,0),"")</f>
        <v/>
      </c>
      <c r="N89" s="213">
        <v>14</v>
      </c>
      <c r="P89" s="155">
        <v>74</v>
      </c>
      <c r="Q89" s="155">
        <v>10</v>
      </c>
      <c r="R89" s="17"/>
      <c r="S89" s="17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x14ac:dyDescent="0.2">
      <c r="A90" s="34">
        <f>RANK(F90,$F$7:$F$172,0)</f>
        <v>79</v>
      </c>
      <c r="B90" s="11" t="s">
        <v>549</v>
      </c>
      <c r="D90" s="34" t="str">
        <f>IFERROR(VLOOKUP(B90,IF(IFERROR(VLOOKUP(B90,#REF!,5,0),0)&gt;1,#REF!,#REF!),4,0)," ")</f>
        <v xml:space="preserve"> </v>
      </c>
      <c r="E90" s="216" t="str">
        <f>IFERROR(VLOOKUP(B90,IF(IFERROR(VLOOKUP(B90,'&gt; Women &lt;'!$D$7:$F$1014,2,0),0)&gt;1,'&gt; Women &lt;'!$D$7:$H$1014,'&gt; Open &lt;'!$D$7:$H$1044),3,0)," ")</f>
        <v xml:space="preserve"> </v>
      </c>
      <c r="F90" s="110">
        <f>SUM(G90:J90)</f>
        <v>146</v>
      </c>
      <c r="G90" s="34" t="str">
        <f>IFERROR(VLOOKUP(Mixed[[#This Row],[SM PO MI Rang]],$P$15:$Q$110,2,0)*G$5,"")</f>
        <v/>
      </c>
      <c r="H90" s="34" t="str">
        <f>IFERROR(VLOOKUP(Mixed[[#This Row],[TS SH MI Rang]],$P$15:$Q$110,2,0)*H$5,"")</f>
        <v/>
      </c>
      <c r="I90" s="34" t="str">
        <f>IFERROR(VLOOKUP(Mixed[[#This Row],[TS BE MI Rang]],$P$15:$Q$110,2,0)*I$5,"")</f>
        <v/>
      </c>
      <c r="J90" s="110">
        <f>IFERROR(VLOOKUP(Mixed[[#This Row],[TS BA Mi 07.05.22 Rang]],$P$15:$Q$110,2,0)*J$5,"")</f>
        <v>146</v>
      </c>
      <c r="K90" s="217" t="str">
        <f>IFERROR(VLOOKUP(Mixed[[#This Row],[Name]],#REF!,4,0),"")</f>
        <v/>
      </c>
      <c r="L90" s="217" t="str">
        <f>IFERROR(VLOOKUP(Mixed[[#This Row],[Name]],#REF!,4,0),"")</f>
        <v/>
      </c>
      <c r="M90" s="218" t="str">
        <f>IFERROR(VLOOKUP(Mixed[[#This Row],[Name]],#REF!,4,0),"")</f>
        <v/>
      </c>
      <c r="N90" s="213">
        <v>14</v>
      </c>
      <c r="P90" s="155">
        <v>75</v>
      </c>
      <c r="Q90" s="155">
        <v>10</v>
      </c>
      <c r="R90" s="17"/>
      <c r="S90" s="17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x14ac:dyDescent="0.2">
      <c r="A91" s="34">
        <f>RANK(F91,$F$7:$F$172,0)</f>
        <v>79</v>
      </c>
      <c r="B91" s="11" t="s">
        <v>547</v>
      </c>
      <c r="D91" s="34" t="str">
        <f>IFERROR(VLOOKUP(B91,IF(IFERROR(VLOOKUP(B91,#REF!,5,0),0)&gt;1,#REF!,#REF!),4,0)," ")</f>
        <v xml:space="preserve"> </v>
      </c>
      <c r="E91" s="216" t="str">
        <f>IFERROR(VLOOKUP(B91,IF(IFERROR(VLOOKUP(B91,'&gt; Women &lt;'!$D$7:$F$1014,2,0),0)&gt;1,'&gt; Women &lt;'!$D$7:$H$1014,'&gt; Open &lt;'!$D$7:$H$1044),3,0)," ")</f>
        <v xml:space="preserve"> </v>
      </c>
      <c r="F91" s="110">
        <f>SUM(G91:J91)</f>
        <v>146</v>
      </c>
      <c r="G91" s="34" t="str">
        <f>IFERROR(VLOOKUP(Mixed[[#This Row],[SM PO MI Rang]],$P$15:$Q$110,2,0)*G$5,"")</f>
        <v/>
      </c>
      <c r="H91" s="34" t="str">
        <f>IFERROR(VLOOKUP(Mixed[[#This Row],[TS SH MI Rang]],$P$15:$Q$110,2,0)*H$5,"")</f>
        <v/>
      </c>
      <c r="I91" s="34" t="str">
        <f>IFERROR(VLOOKUP(Mixed[[#This Row],[TS BE MI Rang]],$P$15:$Q$110,2,0)*I$5,"")</f>
        <v/>
      </c>
      <c r="J91" s="110">
        <f>IFERROR(VLOOKUP(Mixed[[#This Row],[TS BA Mi 07.05.22 Rang]],$P$15:$Q$110,2,0)*J$5,"")</f>
        <v>146</v>
      </c>
      <c r="K91" s="217" t="str">
        <f>IFERROR(VLOOKUP(Mixed[[#This Row],[Name]],#REF!,4,0),"")</f>
        <v/>
      </c>
      <c r="L91" s="217" t="str">
        <f>IFERROR(VLOOKUP(Mixed[[#This Row],[Name]],#REF!,4,0),"")</f>
        <v/>
      </c>
      <c r="M91" s="218" t="str">
        <f>IFERROR(VLOOKUP(Mixed[[#This Row],[Name]],#REF!,4,0),"")</f>
        <v/>
      </c>
      <c r="N91" s="213">
        <v>15</v>
      </c>
      <c r="P91" s="155">
        <v>76</v>
      </c>
      <c r="Q91" s="155">
        <v>10</v>
      </c>
      <c r="R91" s="17"/>
      <c r="S91" s="17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x14ac:dyDescent="0.2">
      <c r="A92" s="34">
        <f>RANK(F92,$F$7:$F$172,0)</f>
        <v>79</v>
      </c>
      <c r="B92" s="11" t="s">
        <v>550</v>
      </c>
      <c r="D92" s="34" t="str">
        <f>IFERROR(VLOOKUP(B92,IF(IFERROR(VLOOKUP(B92,#REF!,5,0),0)&gt;1,#REF!,#REF!),4,0)," ")</f>
        <v xml:space="preserve"> </v>
      </c>
      <c r="E92" s="216" t="str">
        <f>IFERROR(VLOOKUP(B92,IF(IFERROR(VLOOKUP(B92,'&gt; Women &lt;'!$D$7:$F$1014,2,0),0)&gt;1,'&gt; Women &lt;'!$D$7:$H$1014,'&gt; Open &lt;'!$D$7:$H$1044),3,0)," ")</f>
        <v xml:space="preserve"> </v>
      </c>
      <c r="F92" s="110">
        <f>SUM(G92:J92)</f>
        <v>146</v>
      </c>
      <c r="G92" s="34" t="str">
        <f>IFERROR(VLOOKUP(Mixed[[#This Row],[SM PO MI Rang]],$P$15:$Q$110,2,0)*G$5,"")</f>
        <v/>
      </c>
      <c r="H92" s="34" t="str">
        <f>IFERROR(VLOOKUP(Mixed[[#This Row],[TS SH MI Rang]],$P$15:$Q$110,2,0)*H$5,"")</f>
        <v/>
      </c>
      <c r="I92" s="34" t="str">
        <f>IFERROR(VLOOKUP(Mixed[[#This Row],[TS BE MI Rang]],$P$15:$Q$110,2,0)*I$5,"")</f>
        <v/>
      </c>
      <c r="J92" s="110">
        <f>IFERROR(VLOOKUP(Mixed[[#This Row],[TS BA Mi 07.05.22 Rang]],$P$15:$Q$110,2,0)*J$5,"")</f>
        <v>146</v>
      </c>
      <c r="K92" s="217" t="str">
        <f>IFERROR(VLOOKUP(Mixed[[#This Row],[Name]],#REF!,4,0),"")</f>
        <v/>
      </c>
      <c r="L92" s="217" t="str">
        <f>IFERROR(VLOOKUP(Mixed[[#This Row],[Name]],#REF!,4,0),"")</f>
        <v/>
      </c>
      <c r="M92" s="218" t="str">
        <f>IFERROR(VLOOKUP(Mixed[[#This Row],[Name]],#REF!,4,0),"")</f>
        <v/>
      </c>
      <c r="N92" s="213">
        <v>15</v>
      </c>
      <c r="P92" s="155">
        <v>77</v>
      </c>
      <c r="Q92" s="155">
        <v>10</v>
      </c>
      <c r="R92" s="17"/>
      <c r="S92" s="17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x14ac:dyDescent="0.2">
      <c r="A93" s="34">
        <f>RANK(F93,$F$7:$F$172,0)</f>
        <v>79</v>
      </c>
      <c r="B93" s="11" t="s">
        <v>548</v>
      </c>
      <c r="D93" s="34" t="str">
        <f>IFERROR(VLOOKUP(B93,IF(IFERROR(VLOOKUP(B93,#REF!,5,0),0)&gt;1,#REF!,#REF!),4,0)," ")</f>
        <v xml:space="preserve"> </v>
      </c>
      <c r="E93" s="216" t="str">
        <f>IFERROR(VLOOKUP(B93,IF(IFERROR(VLOOKUP(B93,'&gt; Women &lt;'!$D$7:$F$1014,2,0),0)&gt;1,'&gt; Women &lt;'!$D$7:$H$1014,'&gt; Open &lt;'!$D$7:$H$1044),3,0)," ")</f>
        <v xml:space="preserve"> </v>
      </c>
      <c r="F93" s="110">
        <f>SUM(G93:J93)</f>
        <v>146</v>
      </c>
      <c r="G93" s="34" t="str">
        <f>IFERROR(VLOOKUP(Mixed[[#This Row],[SM PO MI Rang]],$P$15:$Q$110,2,0)*G$5,"")</f>
        <v/>
      </c>
      <c r="H93" s="34" t="str">
        <f>IFERROR(VLOOKUP(Mixed[[#This Row],[TS SH MI Rang]],$P$15:$Q$110,2,0)*H$5,"")</f>
        <v/>
      </c>
      <c r="I93" s="34" t="str">
        <f>IFERROR(VLOOKUP(Mixed[[#This Row],[TS BE MI Rang]],$P$15:$Q$110,2,0)*I$5,"")</f>
        <v/>
      </c>
      <c r="J93" s="110">
        <f>IFERROR(VLOOKUP(Mixed[[#This Row],[TS BA Mi 07.05.22 Rang]],$P$15:$Q$110,2,0)*J$5,"")</f>
        <v>146</v>
      </c>
      <c r="K93" s="217" t="str">
        <f>IFERROR(VLOOKUP(Mixed[[#This Row],[Name]],#REF!,4,0),"")</f>
        <v/>
      </c>
      <c r="L93" s="217" t="str">
        <f>IFERROR(VLOOKUP(Mixed[[#This Row],[Name]],#REF!,4,0),"")</f>
        <v/>
      </c>
      <c r="M93" s="218" t="str">
        <f>IFERROR(VLOOKUP(Mixed[[#This Row],[Name]],#REF!,4,0),"")</f>
        <v/>
      </c>
      <c r="N93" s="213">
        <v>16</v>
      </c>
      <c r="P93" s="155">
        <v>78</v>
      </c>
      <c r="Q93" s="155">
        <v>10</v>
      </c>
      <c r="R93" s="17"/>
      <c r="S93" s="17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x14ac:dyDescent="0.2">
      <c r="A94" s="34">
        <f>RANK(F94,$F$7:$F$172,0)</f>
        <v>79</v>
      </c>
      <c r="B94" s="11" t="s">
        <v>551</v>
      </c>
      <c r="D94" s="34" t="str">
        <f>IFERROR(VLOOKUP(B94,IF(IFERROR(VLOOKUP(B94,#REF!,5,0),0)&gt;1,#REF!,#REF!),4,0)," ")</f>
        <v xml:space="preserve"> </v>
      </c>
      <c r="E94" s="216" t="str">
        <f>IFERROR(VLOOKUP(B94,IF(IFERROR(VLOOKUP(B94,'&gt; Women &lt;'!$D$7:$F$1014,2,0),0)&gt;1,'&gt; Women &lt;'!$D$7:$H$1014,'&gt; Open &lt;'!$D$7:$H$1044),3,0)," ")</f>
        <v xml:space="preserve"> </v>
      </c>
      <c r="F94" s="110">
        <f>SUM(G94:J94)</f>
        <v>146</v>
      </c>
      <c r="G94" s="34" t="str">
        <f>IFERROR(VLOOKUP(Mixed[[#This Row],[SM PO MI Rang]],$P$15:$Q$110,2,0)*G$5,"")</f>
        <v/>
      </c>
      <c r="H94" s="34" t="str">
        <f>IFERROR(VLOOKUP(Mixed[[#This Row],[TS SH MI Rang]],$P$15:$Q$110,2,0)*H$5,"")</f>
        <v/>
      </c>
      <c r="I94" s="34" t="str">
        <f>IFERROR(VLOOKUP(Mixed[[#This Row],[TS BE MI Rang]],$P$15:$Q$110,2,0)*I$5,"")</f>
        <v/>
      </c>
      <c r="J94" s="110">
        <f>IFERROR(VLOOKUP(Mixed[[#This Row],[TS BA Mi 07.05.22 Rang]],$P$15:$Q$110,2,0)*J$5,"")</f>
        <v>146</v>
      </c>
      <c r="K94" s="217" t="str">
        <f>IFERROR(VLOOKUP(Mixed[[#This Row],[Name]],#REF!,4,0),"")</f>
        <v/>
      </c>
      <c r="L94" s="217" t="str">
        <f>IFERROR(VLOOKUP(Mixed[[#This Row],[Name]],#REF!,4,0),"")</f>
        <v/>
      </c>
      <c r="M94" s="218" t="str">
        <f>IFERROR(VLOOKUP(Mixed[[#This Row],[Name]],#REF!,4,0),"")</f>
        <v/>
      </c>
      <c r="N94" s="213">
        <v>16</v>
      </c>
      <c r="O94" s="41"/>
      <c r="P94" s="163">
        <v>79</v>
      </c>
      <c r="Q94" s="163">
        <v>10</v>
      </c>
      <c r="R94" s="161"/>
      <c r="S94" s="16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x14ac:dyDescent="0.2">
      <c r="A95" s="34">
        <f>RANK(F95,$F$7:$F$172,0)</f>
        <v>89</v>
      </c>
      <c r="B95" s="7" t="s">
        <v>133</v>
      </c>
      <c r="C95" s="11" t="s">
        <v>8</v>
      </c>
      <c r="D9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5" s="27">
        <f>IFERROR(VLOOKUP(B95,IF(IFERROR(VLOOKUP(B95,'&gt; Women &lt;'!$D$7:$F$1014,2,0),0)&gt;1,'&gt; Women &lt;'!$D$7:$H$1014,'&gt; Open &lt;'!$D$7:$H$1044),3,0)," ")</f>
        <v>492</v>
      </c>
      <c r="F95" s="110">
        <f>SUM(G95:J95)</f>
        <v>116.4</v>
      </c>
      <c r="G95" s="110">
        <f>IFERROR(VLOOKUP(Mixed[[#This Row],[SM PO MI Rang]],$P$15:$Q$110,2,0)*G$5,"")</f>
        <v>59.4</v>
      </c>
      <c r="H95" s="110" t="str">
        <f>IFERROR(VLOOKUP(Mixed[[#This Row],[TS SH MI Rang]],$P$15:$Q$110,2,0)*H$5,"")</f>
        <v/>
      </c>
      <c r="I95" s="110">
        <f>IFERROR(VLOOKUP(Mixed[[#This Row],[TS BE MI Rang]],$P$15:$Q$110,2,0)*I$5,"")</f>
        <v>57</v>
      </c>
      <c r="J95" s="109" t="str">
        <f>IFERROR(VLOOKUP(Mixed[[#This Row],[TS BA Mi 07.05.22 Rang]],$P$15:$Q$110,2,0)*J$5,"")</f>
        <v/>
      </c>
      <c r="K95" s="65">
        <v>21</v>
      </c>
      <c r="L95" s="65" t="s">
        <v>434</v>
      </c>
      <c r="M95" s="68">
        <v>19</v>
      </c>
      <c r="N95" s="213"/>
      <c r="P95" s="155">
        <v>80</v>
      </c>
      <c r="Q95" s="155">
        <v>10</v>
      </c>
      <c r="R95" s="17"/>
      <c r="S95" s="17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x14ac:dyDescent="0.2">
      <c r="A96" s="11">
        <f>RANK(F96,$F$7:$F$172,0)</f>
        <v>89</v>
      </c>
      <c r="B96" s="25" t="s">
        <v>282</v>
      </c>
      <c r="C96" s="29" t="s">
        <v>11</v>
      </c>
      <c r="D9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6" s="27" t="str">
        <f>IFERROR(VLOOKUP(B96,IF(IFERROR(VLOOKUP(B96,'&gt; Women &lt;'!$D$7:$F$1014,2,0),0)&gt;1,'&gt; Women &lt;'!$D$7:$H$1014,'&gt; Open &lt;'!$D$7:$H$1044),3,0)," ")</f>
        <v xml:space="preserve"> </v>
      </c>
      <c r="F96" s="109">
        <f>SUM(G96:J96)</f>
        <v>116.4</v>
      </c>
      <c r="G96" s="109">
        <f>IFERROR(VLOOKUP(Mixed[[#This Row],[SM PO MI Rang]],$P$15:$Q$110,2,0)*G$5,"")</f>
        <v>59.4</v>
      </c>
      <c r="H96" s="109" t="str">
        <f>IFERROR(VLOOKUP(Mixed[[#This Row],[TS SH MI Rang]],$P$15:$Q$110,2,0)*H$5,"")</f>
        <v/>
      </c>
      <c r="I96" s="109">
        <f>IFERROR(VLOOKUP(Mixed[[#This Row],[TS BE MI Rang]],$P$15:$Q$110,2,0)*I$5,"")</f>
        <v>57</v>
      </c>
      <c r="J96" s="109" t="str">
        <f>IFERROR(VLOOKUP(Mixed[[#This Row],[TS BA Mi 07.05.22 Rang]],$P$15:$Q$110,2,0)*J$5,"")</f>
        <v/>
      </c>
      <c r="K96" s="65">
        <v>21</v>
      </c>
      <c r="L96" s="65" t="s">
        <v>434</v>
      </c>
      <c r="M96" s="68">
        <v>19</v>
      </c>
      <c r="N96" s="213"/>
      <c r="P96" s="155">
        <v>81</v>
      </c>
      <c r="Q96" s="155">
        <v>10</v>
      </c>
      <c r="R96" s="17"/>
      <c r="S96" s="17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x14ac:dyDescent="0.2">
      <c r="A97" s="34">
        <f>RANK(F97,$F$7:$F$172,0)</f>
        <v>91</v>
      </c>
      <c r="B97" s="7" t="s">
        <v>132</v>
      </c>
      <c r="C97" s="11" t="s">
        <v>16</v>
      </c>
      <c r="D9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7" s="27">
        <f>IFERROR(VLOOKUP(B97,IF(IFERROR(VLOOKUP(B97,'&gt; Women &lt;'!$D$7:$F$1014,2,0),0)&gt;1,'&gt; Women &lt;'!$D$7:$H$1014,'&gt; Open &lt;'!$D$7:$H$1044),3,0)," ")</f>
        <v>1961.3</v>
      </c>
      <c r="F97" s="110">
        <f>SUM(G97:J97)</f>
        <v>114</v>
      </c>
      <c r="G97" s="110">
        <f>IFERROR(VLOOKUP(Mixed[[#This Row],[SM PO MI Rang]],$P$15:$Q$110,2,0)*G$5,"")</f>
        <v>59.4</v>
      </c>
      <c r="H97" s="110">
        <f>IFERROR(VLOOKUP(Mixed[[#This Row],[TS SH MI Rang]],$P$15:$Q$110,2,0)*H$5,"")</f>
        <v>54.6</v>
      </c>
      <c r="I97" s="110" t="str">
        <f>IFERROR(VLOOKUP(Mixed[[#This Row],[TS BE MI Rang]],$P$15:$Q$110,2,0)*I$5,"")</f>
        <v/>
      </c>
      <c r="J97" s="109" t="str">
        <f>IFERROR(VLOOKUP(Mixed[[#This Row],[TS BA Mi 07.05.22 Rang]],$P$15:$Q$110,2,0)*J$5,"")</f>
        <v/>
      </c>
      <c r="K97" s="65">
        <v>29</v>
      </c>
      <c r="L97" s="65">
        <v>18</v>
      </c>
      <c r="M97" s="68" t="s">
        <v>434</v>
      </c>
      <c r="N97" s="213"/>
      <c r="P97" s="155">
        <v>82</v>
      </c>
      <c r="Q97" s="155">
        <v>10</v>
      </c>
      <c r="R97" s="17"/>
      <c r="S97" s="17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x14ac:dyDescent="0.2">
      <c r="A98" s="11">
        <f>RANK(F98,$F$7:$F$172,0)</f>
        <v>91</v>
      </c>
      <c r="B98" s="2" t="s">
        <v>166</v>
      </c>
      <c r="C98" s="1" t="s">
        <v>16</v>
      </c>
      <c r="D9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8" s="27">
        <f>IFERROR(VLOOKUP(B98,IF(IFERROR(VLOOKUP(B98,'&gt; Women &lt;'!$D$7:$F$1014,2,0),0)&gt;1,'&gt; Women &lt;'!$D$7:$H$1014,'&gt; Open &lt;'!$D$7:$H$1044),3,0)," ")</f>
        <v>221.5</v>
      </c>
      <c r="F98" s="109">
        <f>SUM(G98:J98)</f>
        <v>114</v>
      </c>
      <c r="G98" s="109">
        <f>IFERROR(VLOOKUP(Mixed[[#This Row],[SM PO MI Rang]],$P$15:$Q$110,2,0)*G$5,"")</f>
        <v>59.4</v>
      </c>
      <c r="H98" s="171">
        <f>IFERROR(VLOOKUP(Mixed[[#This Row],[TS SH MI Rang]],$P$15:$Q$110,2,0)*H$5,"")</f>
        <v>54.6</v>
      </c>
      <c r="I98" s="109" t="str">
        <f>IFERROR(VLOOKUP(Mixed[[#This Row],[TS BE MI Rang]],$P$15:$Q$110,2,0)*I$5,"")</f>
        <v/>
      </c>
      <c r="J98" s="109" t="str">
        <f>IFERROR(VLOOKUP(Mixed[[#This Row],[TS BA Mi 07.05.22 Rang]],$P$15:$Q$110,2,0)*J$5,"")</f>
        <v/>
      </c>
      <c r="K98" s="65">
        <v>29</v>
      </c>
      <c r="L98" s="65">
        <v>18</v>
      </c>
      <c r="M98" s="68" t="s">
        <v>434</v>
      </c>
      <c r="N98" s="213"/>
      <c r="P98" s="155">
        <v>83</v>
      </c>
      <c r="Q98" s="155">
        <v>10</v>
      </c>
      <c r="R98" s="17"/>
      <c r="S98" s="17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x14ac:dyDescent="0.2">
      <c r="A99" s="11">
        <f>RANK(F99,$F$7:$F$172,0)</f>
        <v>93</v>
      </c>
      <c r="B99" s="9" t="s">
        <v>293</v>
      </c>
      <c r="C99" s="9" t="s">
        <v>0</v>
      </c>
      <c r="D9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99" s="27">
        <f>IFERROR(VLOOKUP(B99,IF(IFERROR(VLOOKUP(B99,'&gt; Women &lt;'!$D$7:$F$1014,2,0),0)&gt;1,'&gt; Women &lt;'!$D$7:$H$1014,'&gt; Open &lt;'!$D$7:$H$1044),3,0)," ")</f>
        <v>65.599999999999994</v>
      </c>
      <c r="F99" s="109">
        <f>SUM(G99:J99)</f>
        <v>97.4</v>
      </c>
      <c r="G99" s="109">
        <f>IFERROR(VLOOKUP(Mixed[[#This Row],[SM PO MI Rang]],$P$15:$Q$110,2,0)*G$5,"")</f>
        <v>59.4</v>
      </c>
      <c r="H99" s="109" t="str">
        <f>IFERROR(VLOOKUP(Mixed[[#This Row],[TS SH MI Rang]],$P$15:$Q$110,2,0)*H$5,"")</f>
        <v/>
      </c>
      <c r="I99" s="109">
        <f>IFERROR(VLOOKUP(Mixed[[#This Row],[TS BE MI Rang]],$P$15:$Q$110,2,0)*I$5,"")</f>
        <v>38</v>
      </c>
      <c r="J99" s="109" t="str">
        <f>IFERROR(VLOOKUP(Mixed[[#This Row],[TS BA Mi 07.05.22 Rang]],$P$15:$Q$110,2,0)*J$5,"")</f>
        <v/>
      </c>
      <c r="K99" s="65">
        <v>26</v>
      </c>
      <c r="L99" s="65" t="s">
        <v>434</v>
      </c>
      <c r="M99" s="68">
        <v>36</v>
      </c>
      <c r="N99" s="213"/>
      <c r="P99" s="155">
        <v>84</v>
      </c>
      <c r="Q99" s="155">
        <v>10</v>
      </c>
      <c r="R99" s="17"/>
      <c r="S99" s="17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x14ac:dyDescent="0.2">
      <c r="A100" s="34">
        <f>RANK(F100,$F$7:$F$172,0)</f>
        <v>94</v>
      </c>
      <c r="B100" s="25" t="s">
        <v>256</v>
      </c>
      <c r="C100" t="s">
        <v>0</v>
      </c>
      <c r="D10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0" s="27">
        <f>IFERROR(VLOOKUP(B100,IF(IFERROR(VLOOKUP(B100,'&gt; Women &lt;'!$D$7:$F$1014,2,0),0)&gt;1,'&gt; Women &lt;'!$D$7:$H$1014,'&gt; Open &lt;'!$D$7:$H$1044),3,0)," ")</f>
        <v>0</v>
      </c>
      <c r="F100" s="110">
        <f>SUM(G100:J100)</f>
        <v>96.6</v>
      </c>
      <c r="G100" s="110">
        <f>IFERROR(VLOOKUP(Mixed[[#This Row],[SM PO MI Rang]],$P$15:$Q$110,2,0)*G$5,"")</f>
        <v>39.6</v>
      </c>
      <c r="H100" s="110" t="str">
        <f>IFERROR(VLOOKUP(Mixed[[#This Row],[TS SH MI Rang]],$P$15:$Q$110,2,0)*H$5,"")</f>
        <v/>
      </c>
      <c r="I100" s="110">
        <f>IFERROR(VLOOKUP(Mixed[[#This Row],[TS BE MI Rang]],$P$15:$Q$110,2,0)*I$5,"")</f>
        <v>57</v>
      </c>
      <c r="J100" s="109" t="str">
        <f>IFERROR(VLOOKUP(Mixed[[#This Row],[TS BA Mi 07.05.22 Rang]],$P$15:$Q$110,2,0)*J$5,"")</f>
        <v/>
      </c>
      <c r="K100" s="65">
        <v>35</v>
      </c>
      <c r="L100" s="65" t="s">
        <v>434</v>
      </c>
      <c r="M100" s="68">
        <v>30</v>
      </c>
      <c r="N100" s="213"/>
      <c r="P100" s="155">
        <v>85</v>
      </c>
      <c r="Q100" s="155">
        <v>10</v>
      </c>
      <c r="R100" s="17"/>
      <c r="S100" s="17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x14ac:dyDescent="0.2">
      <c r="A101" s="34">
        <f>RANK(F101,$F$7:$F$172,0)</f>
        <v>95</v>
      </c>
      <c r="B101" s="25" t="s">
        <v>287</v>
      </c>
      <c r="C101" s="16" t="s">
        <v>10</v>
      </c>
      <c r="D10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1" s="27">
        <f>IFERROR(VLOOKUP(B101,IF(IFERROR(VLOOKUP(B101,'&gt; Women &lt;'!$D$7:$F$1014,2,0),0)&gt;1,'&gt; Women &lt;'!$D$7:$H$1014,'&gt; Open &lt;'!$D$7:$H$1044),3,0)," ")</f>
        <v>362.4</v>
      </c>
      <c r="F101" s="110">
        <f>SUM(G101:J101)</f>
        <v>59.4</v>
      </c>
      <c r="G101" s="110">
        <f>IFERROR(VLOOKUP(Mixed[[#This Row],[SM PO MI Rang]],$P$15:$Q$110,2,0)*G$5,"")</f>
        <v>59.4</v>
      </c>
      <c r="H101" s="110" t="str">
        <f>IFERROR(VLOOKUP(Mixed[[#This Row],[TS SH MI Rang]],$P$15:$Q$110,2,0)*H$5,"")</f>
        <v/>
      </c>
      <c r="I101" s="110" t="str">
        <f>IFERROR(VLOOKUP(Mixed[[#This Row],[TS BE MI Rang]],$P$15:$Q$110,2,0)*I$5,"")</f>
        <v/>
      </c>
      <c r="J101" s="109" t="str">
        <f>IFERROR(VLOOKUP(Mixed[[#This Row],[TS BA Mi 07.05.22 Rang]],$P$15:$Q$110,2,0)*J$5,"")</f>
        <v/>
      </c>
      <c r="K101" s="65">
        <v>32</v>
      </c>
      <c r="L101" s="65" t="s">
        <v>434</v>
      </c>
      <c r="M101" s="68" t="s">
        <v>434</v>
      </c>
      <c r="N101" s="213"/>
      <c r="O101" s="41"/>
      <c r="P101" s="163">
        <v>86</v>
      </c>
      <c r="Q101" s="163">
        <v>10</v>
      </c>
      <c r="R101" s="161"/>
      <c r="S101" s="16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x14ac:dyDescent="0.2">
      <c r="A102" s="11">
        <f>RANK(F102,$F$7:$F$172,0)</f>
        <v>95</v>
      </c>
      <c r="B102" s="25" t="s">
        <v>226</v>
      </c>
      <c r="C102" s="4" t="s">
        <v>11</v>
      </c>
      <c r="D10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2" s="27">
        <f>IFERROR(VLOOKUP(B102,IF(IFERROR(VLOOKUP(B102,'&gt; Women &lt;'!$D$7:$F$1014,2,0),0)&gt;1,'&gt; Women &lt;'!$D$7:$H$1014,'&gt; Open &lt;'!$D$7:$H$1044),3,0)," ")</f>
        <v>0</v>
      </c>
      <c r="F102" s="109">
        <f>SUM(G102:J102)</f>
        <v>59.4</v>
      </c>
      <c r="G102" s="109">
        <f>IFERROR(VLOOKUP(Mixed[[#This Row],[SM PO MI Rang]],$P$15:$Q$110,2,0)*G$5,"")</f>
        <v>59.4</v>
      </c>
      <c r="H102" s="109" t="str">
        <f>IFERROR(VLOOKUP(Mixed[[#This Row],[TS SH MI Rang]],$P$15:$Q$110,2,0)*H$5,"")</f>
        <v/>
      </c>
      <c r="I102" s="109" t="str">
        <f>IFERROR(VLOOKUP(Mixed[[#This Row],[TS BE MI Rang]],$P$15:$Q$110,2,0)*I$5,"")</f>
        <v/>
      </c>
      <c r="J102" s="109" t="str">
        <f>IFERROR(VLOOKUP(Mixed[[#This Row],[TS BA Mi 07.05.22 Rang]],$P$15:$Q$110,2,0)*J$5,"")</f>
        <v/>
      </c>
      <c r="K102" s="65">
        <v>32</v>
      </c>
      <c r="L102" s="65" t="s">
        <v>434</v>
      </c>
      <c r="M102" s="68" t="s">
        <v>434</v>
      </c>
      <c r="N102" s="213"/>
      <c r="Q102" s="172"/>
    </row>
    <row r="103" spans="1:28" x14ac:dyDescent="0.2">
      <c r="A103" s="34">
        <f>RANK(F103,$F$7:$F$172,0)</f>
        <v>95</v>
      </c>
      <c r="B103" s="25" t="s">
        <v>246</v>
      </c>
      <c r="C103" s="4" t="s">
        <v>0</v>
      </c>
      <c r="D10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3" s="27">
        <f>IFERROR(VLOOKUP(B103,IF(IFERROR(VLOOKUP(B103,'&gt; Women &lt;'!$D$7:$F$1014,2,0),0)&gt;1,'&gt; Women &lt;'!$D$7:$H$1014,'&gt; Open &lt;'!$D$7:$H$1044),3,0)," ")</f>
        <v>0</v>
      </c>
      <c r="F103" s="110">
        <f>SUM(G103:J103)</f>
        <v>59.4</v>
      </c>
      <c r="G103" s="110">
        <f>IFERROR(VLOOKUP(Mixed[[#This Row],[SM PO MI Rang]],$P$15:$Q$110,2,0)*G$5,"")</f>
        <v>59.4</v>
      </c>
      <c r="H103" s="110" t="str">
        <f>IFERROR(VLOOKUP(Mixed[[#This Row],[TS SH MI Rang]],$P$15:$Q$110,2,0)*H$5,"")</f>
        <v/>
      </c>
      <c r="I103" s="110" t="str">
        <f>IFERROR(VLOOKUP(Mixed[[#This Row],[TS BE MI Rang]],$P$15:$Q$110,2,0)*I$5,"")</f>
        <v/>
      </c>
      <c r="J103" s="109" t="str">
        <f>IFERROR(VLOOKUP(Mixed[[#This Row],[TS BA Mi 07.05.22 Rang]],$P$15:$Q$110,2,0)*J$5,"")</f>
        <v/>
      </c>
      <c r="K103" s="65">
        <v>31</v>
      </c>
      <c r="L103" s="65" t="s">
        <v>434</v>
      </c>
      <c r="M103" s="68" t="s">
        <v>434</v>
      </c>
      <c r="N103" s="213"/>
      <c r="Q103" s="172"/>
    </row>
    <row r="104" spans="1:28" x14ac:dyDescent="0.2">
      <c r="A104" s="11">
        <f>RANK(F104,$F$7:$F$172,0)</f>
        <v>95</v>
      </c>
      <c r="B104" s="25" t="s">
        <v>225</v>
      </c>
      <c r="C104" t="s">
        <v>0</v>
      </c>
      <c r="D10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4" s="27">
        <f>IFERROR(VLOOKUP(B104,IF(IFERROR(VLOOKUP(B104,'&gt; Women &lt;'!$D$7:$F$1014,2,0),0)&gt;1,'&gt; Women &lt;'!$D$7:$H$1014,'&gt; Open &lt;'!$D$7:$H$1044),3,0)," ")</f>
        <v>0</v>
      </c>
      <c r="F104" s="109">
        <f>SUM(G104:J104)</f>
        <v>59.4</v>
      </c>
      <c r="G104" s="109">
        <f>IFERROR(VLOOKUP(Mixed[[#This Row],[SM PO MI Rang]],$P$15:$Q$110,2,0)*G$5,"")</f>
        <v>59.4</v>
      </c>
      <c r="H104" s="109" t="str">
        <f>IFERROR(VLOOKUP(Mixed[[#This Row],[TS SH MI Rang]],$P$15:$Q$110,2,0)*H$5,"")</f>
        <v/>
      </c>
      <c r="I104" s="109" t="str">
        <f>IFERROR(VLOOKUP(Mixed[[#This Row],[TS BE MI Rang]],$P$15:$Q$110,2,0)*I$5,"")</f>
        <v/>
      </c>
      <c r="J104" s="109" t="str">
        <f>IFERROR(VLOOKUP(Mixed[[#This Row],[TS BA Mi 07.05.22 Rang]],$P$15:$Q$110,2,0)*J$5,"")</f>
        <v/>
      </c>
      <c r="K104" s="65">
        <v>31</v>
      </c>
      <c r="L104" s="65" t="s">
        <v>434</v>
      </c>
      <c r="M104" s="68" t="s">
        <v>434</v>
      </c>
      <c r="N104" s="213"/>
      <c r="Q104" s="172"/>
    </row>
    <row r="105" spans="1:28" x14ac:dyDescent="0.2">
      <c r="A105" s="34">
        <f>RANK(F105,$F$7:$F$172,0)</f>
        <v>95</v>
      </c>
      <c r="B105" s="13" t="s">
        <v>170</v>
      </c>
      <c r="C105" s="13" t="s">
        <v>13</v>
      </c>
      <c r="D10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5" s="27">
        <f>IFERROR(VLOOKUP(B105,IF(IFERROR(VLOOKUP(B105,'&gt; Women &lt;'!$D$7:$F$1014,2,0),0)&gt;1,'&gt; Women &lt;'!$D$7:$H$1014,'&gt; Open &lt;'!$D$7:$H$1044),3,0)," ")</f>
        <v>0</v>
      </c>
      <c r="F105" s="110">
        <f>SUM(G105:J105)</f>
        <v>59.4</v>
      </c>
      <c r="G105" s="110">
        <f>IFERROR(VLOOKUP(Mixed[[#This Row],[SM PO MI Rang]],$P$15:$Q$110,2,0)*G$5,"")</f>
        <v>59.4</v>
      </c>
      <c r="H105" s="110" t="str">
        <f>IFERROR(VLOOKUP(Mixed[[#This Row],[TS SH MI Rang]],$P$15:$Q$110,2,0)*H$5,"")</f>
        <v/>
      </c>
      <c r="I105" s="110" t="str">
        <f>IFERROR(VLOOKUP(Mixed[[#This Row],[TS BE MI Rang]],$P$15:$Q$110,2,0)*I$5,"")</f>
        <v/>
      </c>
      <c r="J105" s="109" t="str">
        <f>IFERROR(VLOOKUP(Mixed[[#This Row],[TS BA Mi 07.05.22 Rang]],$P$15:$Q$110,2,0)*J$5,"")</f>
        <v/>
      </c>
      <c r="K105" s="65">
        <v>30</v>
      </c>
      <c r="L105" s="65" t="s">
        <v>434</v>
      </c>
      <c r="M105" s="68" t="s">
        <v>434</v>
      </c>
      <c r="N105" s="213"/>
    </row>
    <row r="106" spans="1:28" x14ac:dyDescent="0.2">
      <c r="A106" s="11">
        <f>RANK(F106,$F$7:$F$172,0)</f>
        <v>95</v>
      </c>
      <c r="B106" s="3" t="s">
        <v>200</v>
      </c>
      <c r="C106" s="12" t="s">
        <v>13</v>
      </c>
      <c r="D10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6" s="27">
        <f>IFERROR(VLOOKUP(B106,IF(IFERROR(VLOOKUP(B106,'&gt; Women &lt;'!$D$7:$F$1014,2,0),0)&gt;1,'&gt; Women &lt;'!$D$7:$H$1014,'&gt; Open &lt;'!$D$7:$H$1044),3,0)," ")</f>
        <v>0</v>
      </c>
      <c r="F106" s="109">
        <f>SUM(G106:J106)</f>
        <v>59.4</v>
      </c>
      <c r="G106" s="109">
        <f>IFERROR(VLOOKUP(Mixed[[#This Row],[SM PO MI Rang]],$P$15:$Q$110,2,0)*G$5,"")</f>
        <v>59.4</v>
      </c>
      <c r="H106" s="109" t="str">
        <f>IFERROR(VLOOKUP(Mixed[[#This Row],[TS SH MI Rang]],$P$15:$Q$110,2,0)*H$5,"")</f>
        <v/>
      </c>
      <c r="I106" s="109" t="str">
        <f>IFERROR(VLOOKUP(Mixed[[#This Row],[TS BE MI Rang]],$P$15:$Q$110,2,0)*I$5,"")</f>
        <v/>
      </c>
      <c r="J106" s="109" t="str">
        <f>IFERROR(VLOOKUP(Mixed[[#This Row],[TS BA Mi 07.05.22 Rang]],$P$15:$Q$110,2,0)*J$5,"")</f>
        <v/>
      </c>
      <c r="K106" s="65">
        <v>30</v>
      </c>
      <c r="L106" s="65" t="s">
        <v>434</v>
      </c>
      <c r="M106" s="68" t="s">
        <v>434</v>
      </c>
      <c r="N106" s="213"/>
    </row>
    <row r="107" spans="1:28" x14ac:dyDescent="0.2">
      <c r="A107" s="11">
        <f>RANK(F107,$F$7:$F$172,0)</f>
        <v>95</v>
      </c>
      <c r="B107" s="25" t="s">
        <v>286</v>
      </c>
      <c r="C107" s="29" t="s">
        <v>11</v>
      </c>
      <c r="D10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7" s="27" t="str">
        <f>IFERROR(VLOOKUP(B107,IF(IFERROR(VLOOKUP(B107,'&gt; Women &lt;'!$D$7:$F$1014,2,0),0)&gt;1,'&gt; Women &lt;'!$D$7:$H$1014,'&gt; Open &lt;'!$D$7:$H$1044),3,0)," ")</f>
        <v xml:space="preserve"> </v>
      </c>
      <c r="F107" s="109">
        <f>SUM(G107:J107)</f>
        <v>59.4</v>
      </c>
      <c r="G107" s="109">
        <f>IFERROR(VLOOKUP(Mixed[[#This Row],[SM PO MI Rang]],$P$15:$Q$110,2,0)*G$5,"")</f>
        <v>59.4</v>
      </c>
      <c r="H107" s="109" t="str">
        <f>IFERROR(VLOOKUP(Mixed[[#This Row],[TS SH MI Rang]],$P$15:$Q$110,2,0)*H$5,"")</f>
        <v/>
      </c>
      <c r="I107" s="109" t="str">
        <f>IFERROR(VLOOKUP(Mixed[[#This Row],[TS BE MI Rang]],$P$15:$Q$110,2,0)*I$5,"")</f>
        <v/>
      </c>
      <c r="J107" s="109" t="str">
        <f>IFERROR(VLOOKUP(Mixed[[#This Row],[TS BA Mi 07.05.22 Rang]],$P$15:$Q$110,2,0)*J$5,"")</f>
        <v/>
      </c>
      <c r="K107" s="65">
        <v>28</v>
      </c>
      <c r="L107" s="65" t="s">
        <v>434</v>
      </c>
      <c r="M107" s="77" t="s">
        <v>434</v>
      </c>
      <c r="N107" s="214"/>
    </row>
    <row r="108" spans="1:28" x14ac:dyDescent="0.2">
      <c r="A108" s="34">
        <f>RANK(F108,$F$7:$F$172,0)</f>
        <v>95</v>
      </c>
      <c r="B108" s="1" t="s">
        <v>285</v>
      </c>
      <c r="C108" s="4" t="s">
        <v>11</v>
      </c>
      <c r="D10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8" s="27" t="str">
        <f>IFERROR(VLOOKUP(B108,IF(IFERROR(VLOOKUP(B108,'&gt; Women &lt;'!$D$7:$F$1014,2,0),0)&gt;1,'&gt; Women &lt;'!$D$7:$H$1014,'&gt; Open &lt;'!$D$7:$H$1044),3,0)," ")</f>
        <v xml:space="preserve"> </v>
      </c>
      <c r="F108" s="110">
        <f>SUM(G108:J108)</f>
        <v>59.4</v>
      </c>
      <c r="G108" s="110">
        <f>IFERROR(VLOOKUP(Mixed[[#This Row],[SM PO MI Rang]],$P$15:$Q$110,2,0)*G$5,"")</f>
        <v>59.4</v>
      </c>
      <c r="H108" s="110" t="str">
        <f>IFERROR(VLOOKUP(Mixed[[#This Row],[TS SH MI Rang]],$P$15:$Q$110,2,0)*H$5,"")</f>
        <v/>
      </c>
      <c r="I108" s="110" t="str">
        <f>IFERROR(VLOOKUP(Mixed[[#This Row],[TS BE MI Rang]],$P$15:$Q$110,2,0)*I$5,"")</f>
        <v/>
      </c>
      <c r="J108" s="109" t="str">
        <f>IFERROR(VLOOKUP(Mixed[[#This Row],[TS BA Mi 07.05.22 Rang]],$P$15:$Q$110,2,0)*J$5,"")</f>
        <v/>
      </c>
      <c r="K108" s="65">
        <v>28</v>
      </c>
      <c r="L108" s="65" t="s">
        <v>434</v>
      </c>
      <c r="M108" s="68" t="s">
        <v>434</v>
      </c>
      <c r="N108" s="213"/>
    </row>
    <row r="109" spans="1:28" x14ac:dyDescent="0.2">
      <c r="A109" s="34">
        <f>RANK(F109,$F$7:$F$172,0)</f>
        <v>95</v>
      </c>
      <c r="B109" s="31" t="s">
        <v>94</v>
      </c>
      <c r="C109" s="9" t="s">
        <v>9</v>
      </c>
      <c r="D10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09" s="27">
        <f>IFERROR(VLOOKUP(B109,IF(IFERROR(VLOOKUP(B109,'&gt; Women &lt;'!$D$7:$F$1014,2,0),0)&gt;1,'&gt; Women &lt;'!$D$7:$H$1014,'&gt; Open &lt;'!$D$7:$H$1044),3,0)," ")</f>
        <v>0</v>
      </c>
      <c r="F109" s="110">
        <f>SUM(G109:J109)</f>
        <v>59.4</v>
      </c>
      <c r="G109" s="110">
        <f>IFERROR(VLOOKUP(Mixed[[#This Row],[SM PO MI Rang]],$P$15:$Q$110,2,0)*G$5,"")</f>
        <v>59.4</v>
      </c>
      <c r="H109" s="110" t="str">
        <f>IFERROR(VLOOKUP(Mixed[[#This Row],[TS SH MI Rang]],$P$15:$Q$110,2,0)*H$5,"")</f>
        <v/>
      </c>
      <c r="I109" s="110" t="str">
        <f>IFERROR(VLOOKUP(Mixed[[#This Row],[TS BE MI Rang]],$P$15:$Q$110,2,0)*I$5,"")</f>
        <v/>
      </c>
      <c r="J109" s="109" t="str">
        <f>IFERROR(VLOOKUP(Mixed[[#This Row],[TS BA Mi 07.05.22 Rang]],$P$15:$Q$110,2,0)*J$5,"")</f>
        <v/>
      </c>
      <c r="K109" s="65">
        <v>27</v>
      </c>
      <c r="L109" s="65" t="s">
        <v>434</v>
      </c>
      <c r="M109" s="68" t="s">
        <v>434</v>
      </c>
      <c r="N109" s="213"/>
    </row>
    <row r="110" spans="1:28" x14ac:dyDescent="0.2">
      <c r="A110" s="11">
        <f>RANK(F110,$F$7:$F$172,0)</f>
        <v>95</v>
      </c>
      <c r="B110" s="31" t="s">
        <v>48</v>
      </c>
      <c r="C110" s="12" t="s">
        <v>9</v>
      </c>
      <c r="D11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0" s="27">
        <f>IFERROR(VLOOKUP(B110,IF(IFERROR(VLOOKUP(B110,'&gt; Women &lt;'!$D$7:$F$1014,2,0),0)&gt;1,'&gt; Women &lt;'!$D$7:$H$1014,'&gt; Open &lt;'!$D$7:$H$1044),3,0)," ")</f>
        <v>0</v>
      </c>
      <c r="F110" s="109">
        <f>SUM(G110:J110)</f>
        <v>59.4</v>
      </c>
      <c r="G110" s="171">
        <f>IFERROR(VLOOKUP(Mixed[[#This Row],[SM PO MI Rang]],$P$15:$Q$110,2,0)*G$5,"")</f>
        <v>59.4</v>
      </c>
      <c r="H110" s="109" t="str">
        <f>IFERROR(VLOOKUP(Mixed[[#This Row],[TS SH MI Rang]],$P$15:$Q$110,2,0)*H$5,"")</f>
        <v/>
      </c>
      <c r="I110" s="109" t="str">
        <f>IFERROR(VLOOKUP(Mixed[[#This Row],[TS BE MI Rang]],$P$15:$Q$110,2,0)*I$5,"")</f>
        <v/>
      </c>
      <c r="J110" s="109" t="str">
        <f>IFERROR(VLOOKUP(Mixed[[#This Row],[TS BA Mi 07.05.22 Rang]],$P$15:$Q$110,2,0)*J$5,"")</f>
        <v/>
      </c>
      <c r="K110" s="65">
        <v>27</v>
      </c>
      <c r="L110" s="65" t="s">
        <v>434</v>
      </c>
      <c r="M110" s="68" t="s">
        <v>434</v>
      </c>
      <c r="N110" s="213"/>
    </row>
    <row r="111" spans="1:28" x14ac:dyDescent="0.2">
      <c r="A111" s="34">
        <f>RANK(F111,$F$7:$F$172,0)</f>
        <v>95</v>
      </c>
      <c r="B111" s="9" t="s">
        <v>134</v>
      </c>
      <c r="C111" s="9" t="s">
        <v>8</v>
      </c>
      <c r="D11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1" s="27">
        <f>IFERROR(VLOOKUP(B111,IF(IFERROR(VLOOKUP(B111,'&gt; Women &lt;'!$D$7:$F$1014,2,0),0)&gt;1,'&gt; Women &lt;'!$D$7:$H$1014,'&gt; Open &lt;'!$D$7:$H$1044),3,0)," ")</f>
        <v>352.4</v>
      </c>
      <c r="F111" s="110">
        <f>SUM(G111:J111)</f>
        <v>59.4</v>
      </c>
      <c r="G111" s="110">
        <f>IFERROR(VLOOKUP(Mixed[[#This Row],[SM PO MI Rang]],$P$15:$Q$110,2,0)*G$5,"")</f>
        <v>59.4</v>
      </c>
      <c r="H111" s="110" t="str">
        <f>IFERROR(VLOOKUP(Mixed[[#This Row],[TS SH MI Rang]],$P$15:$Q$110,2,0)*H$5,"")</f>
        <v/>
      </c>
      <c r="I111" s="110" t="str">
        <f>IFERROR(VLOOKUP(Mixed[[#This Row],[TS BE MI Rang]],$P$15:$Q$110,2,0)*I$5,"")</f>
        <v/>
      </c>
      <c r="J111" s="109" t="str">
        <f>IFERROR(VLOOKUP(Mixed[[#This Row],[TS BA Mi 07.05.22 Rang]],$P$15:$Q$110,2,0)*J$5,"")</f>
        <v/>
      </c>
      <c r="K111" s="65">
        <v>25</v>
      </c>
      <c r="L111" s="65" t="s">
        <v>434</v>
      </c>
      <c r="M111" s="68" t="s">
        <v>434</v>
      </c>
      <c r="N111" s="213"/>
    </row>
    <row r="112" spans="1:28" x14ac:dyDescent="0.2">
      <c r="A112" s="11">
        <f>RANK(F112,$F$7:$F$172,0)</f>
        <v>95</v>
      </c>
      <c r="B112" s="25" t="s">
        <v>284</v>
      </c>
      <c r="C112" s="29" t="s">
        <v>11</v>
      </c>
      <c r="D11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2" s="27" t="str">
        <f>IFERROR(VLOOKUP(B112,IF(IFERROR(VLOOKUP(B112,'&gt; Women &lt;'!$D$7:$F$1014,2,0),0)&gt;1,'&gt; Women &lt;'!$D$7:$H$1014,'&gt; Open &lt;'!$D$7:$H$1044),3,0)," ")</f>
        <v xml:space="preserve"> </v>
      </c>
      <c r="F112" s="109">
        <f>SUM(G112:J112)</f>
        <v>59.4</v>
      </c>
      <c r="G112" s="109">
        <f>IFERROR(VLOOKUP(Mixed[[#This Row],[SM PO MI Rang]],$P$15:$Q$110,2,0)*G$5,"")</f>
        <v>59.4</v>
      </c>
      <c r="H112" s="109" t="str">
        <f>IFERROR(VLOOKUP(Mixed[[#This Row],[TS SH MI Rang]],$P$15:$Q$110,2,0)*H$5,"")</f>
        <v/>
      </c>
      <c r="I112" s="109" t="str">
        <f>IFERROR(VLOOKUP(Mixed[[#This Row],[TS BE MI Rang]],$P$15:$Q$110,2,0)*I$5,"")</f>
        <v/>
      </c>
      <c r="J112" s="109" t="str">
        <f>IFERROR(VLOOKUP(Mixed[[#This Row],[TS BA Mi 07.05.22 Rang]],$P$15:$Q$110,2,0)*J$5,"")</f>
        <v/>
      </c>
      <c r="K112" s="65">
        <v>24</v>
      </c>
      <c r="L112" s="65" t="s">
        <v>434</v>
      </c>
      <c r="M112" s="68" t="s">
        <v>434</v>
      </c>
      <c r="N112" s="213"/>
    </row>
    <row r="113" spans="1:14" x14ac:dyDescent="0.2">
      <c r="A113" s="34">
        <f>RANK(F113,$F$7:$F$172,0)</f>
        <v>95</v>
      </c>
      <c r="B113" s="1" t="s">
        <v>283</v>
      </c>
      <c r="C113" s="4" t="s">
        <v>11</v>
      </c>
      <c r="D11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3" s="27" t="str">
        <f>IFERROR(VLOOKUP(B113,IF(IFERROR(VLOOKUP(B113,'&gt; Women &lt;'!$D$7:$F$1014,2,0),0)&gt;1,'&gt; Women &lt;'!$D$7:$H$1014,'&gt; Open &lt;'!$D$7:$H$1044),3,0)," ")</f>
        <v xml:space="preserve"> </v>
      </c>
      <c r="F113" s="110">
        <f>SUM(G113:J113)</f>
        <v>59.4</v>
      </c>
      <c r="G113" s="110">
        <f>IFERROR(VLOOKUP(Mixed[[#This Row],[SM PO MI Rang]],$P$15:$Q$110,2,0)*G$5,"")</f>
        <v>59.4</v>
      </c>
      <c r="H113" s="110" t="str">
        <f>IFERROR(VLOOKUP(Mixed[[#This Row],[TS SH MI Rang]],$P$15:$Q$110,2,0)*H$5,"")</f>
        <v/>
      </c>
      <c r="I113" s="110" t="str">
        <f>IFERROR(VLOOKUP(Mixed[[#This Row],[TS BE MI Rang]],$P$15:$Q$110,2,0)*I$5,"")</f>
        <v/>
      </c>
      <c r="J113" s="109" t="str">
        <f>IFERROR(VLOOKUP(Mixed[[#This Row],[TS BA Mi 07.05.22 Rang]],$P$15:$Q$110,2,0)*J$5,"")</f>
        <v/>
      </c>
      <c r="K113" s="65">
        <v>24</v>
      </c>
      <c r="L113" s="65" t="s">
        <v>434</v>
      </c>
      <c r="M113" s="68" t="s">
        <v>434</v>
      </c>
      <c r="N113" s="213"/>
    </row>
    <row r="114" spans="1:14" x14ac:dyDescent="0.2">
      <c r="A114" s="34">
        <f>RANK(F114,$F$7:$F$172,0)</f>
        <v>95</v>
      </c>
      <c r="B114" s="31" t="s">
        <v>79</v>
      </c>
      <c r="C114" s="11" t="s">
        <v>16</v>
      </c>
      <c r="D11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4" s="27">
        <f>IFERROR(VLOOKUP(B114,IF(IFERROR(VLOOKUP(B114,'&gt; Women &lt;'!$D$7:$F$1014,2,0),0)&gt;1,'&gt; Women &lt;'!$D$7:$H$1014,'&gt; Open &lt;'!$D$7:$H$1044),3,0)," ")</f>
        <v>1001</v>
      </c>
      <c r="F114" s="110">
        <f>SUM(G114:J114)</f>
        <v>59.4</v>
      </c>
      <c r="G114" s="110">
        <f>IFERROR(VLOOKUP(Mixed[[#This Row],[SM PO MI Rang]],$P$15:$Q$110,2,0)*G$5,"")</f>
        <v>59.4</v>
      </c>
      <c r="H114" s="110" t="str">
        <f>IFERROR(VLOOKUP(Mixed[[#This Row],[TS SH MI Rang]],$P$15:$Q$110,2,0)*H$5,"")</f>
        <v/>
      </c>
      <c r="I114" s="110" t="str">
        <f>IFERROR(VLOOKUP(Mixed[[#This Row],[TS BE MI Rang]],$P$15:$Q$110,2,0)*I$5,"")</f>
        <v/>
      </c>
      <c r="J114" s="109" t="str">
        <f>IFERROR(VLOOKUP(Mixed[[#This Row],[TS BA Mi 07.05.22 Rang]],$P$15:$Q$110,2,0)*J$5,"")</f>
        <v/>
      </c>
      <c r="K114" s="70">
        <v>23</v>
      </c>
      <c r="L114" s="65" t="s">
        <v>434</v>
      </c>
      <c r="M114" s="68" t="s">
        <v>434</v>
      </c>
      <c r="N114" s="213"/>
    </row>
    <row r="115" spans="1:14" x14ac:dyDescent="0.2">
      <c r="A115" s="11">
        <f>RANK(F115,$F$7:$F$172,0)</f>
        <v>95</v>
      </c>
      <c r="B115" t="s">
        <v>202</v>
      </c>
      <c r="C115" s="9" t="s">
        <v>9</v>
      </c>
      <c r="D11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5" s="27">
        <f>IFERROR(VLOOKUP(B115,IF(IFERROR(VLOOKUP(B115,'&gt; Women &lt;'!$D$7:$F$1014,2,0),0)&gt;1,'&gt; Women &lt;'!$D$7:$H$1014,'&gt; Open &lt;'!$D$7:$H$1044),3,0)," ")</f>
        <v>0</v>
      </c>
      <c r="F115" s="109">
        <f>SUM(G115:J115)</f>
        <v>59.4</v>
      </c>
      <c r="G115" s="109">
        <f>IFERROR(VLOOKUP(Mixed[[#This Row],[SM PO MI Rang]],$P$15:$Q$110,2,0)*G$5,"")</f>
        <v>59.4</v>
      </c>
      <c r="H115" s="109" t="str">
        <f>IFERROR(VLOOKUP(Mixed[[#This Row],[TS SH MI Rang]],$P$15:$Q$110,2,0)*H$5,"")</f>
        <v/>
      </c>
      <c r="I115" s="109" t="str">
        <f>IFERROR(VLOOKUP(Mixed[[#This Row],[TS BE MI Rang]],$P$15:$Q$110,2,0)*I$5,"")</f>
        <v/>
      </c>
      <c r="J115" s="109" t="str">
        <f>IFERROR(VLOOKUP(Mixed[[#This Row],[TS BA Mi 07.05.22 Rang]],$P$15:$Q$110,2,0)*J$5,"")</f>
        <v/>
      </c>
      <c r="K115" s="65">
        <v>23</v>
      </c>
      <c r="L115" s="65" t="s">
        <v>434</v>
      </c>
      <c r="M115" s="68" t="s">
        <v>434</v>
      </c>
      <c r="N115" s="213"/>
    </row>
    <row r="116" spans="1:14" x14ac:dyDescent="0.2">
      <c r="A116" s="34">
        <f>RANK(F116,$F$7:$F$172,0)</f>
        <v>95</v>
      </c>
      <c r="B116" s="31" t="s">
        <v>67</v>
      </c>
      <c r="C116" s="9" t="s">
        <v>10</v>
      </c>
      <c r="D11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6" s="27">
        <f>IFERROR(VLOOKUP(B116,IF(IFERROR(VLOOKUP(B116,'&gt; Women &lt;'!$D$7:$F$1014,2,0),0)&gt;1,'&gt; Women &lt;'!$D$7:$H$1014,'&gt; Open &lt;'!$D$7:$H$1044),3,0)," ")</f>
        <v>0</v>
      </c>
      <c r="F116" s="110">
        <f>SUM(G116:J116)</f>
        <v>59.4</v>
      </c>
      <c r="G116" s="110">
        <f>IFERROR(VLOOKUP(Mixed[[#This Row],[SM PO MI Rang]],$P$15:$Q$110,2,0)*G$5,"")</f>
        <v>59.4</v>
      </c>
      <c r="H116" s="110" t="str">
        <f>IFERROR(VLOOKUP(Mixed[[#This Row],[TS SH MI Rang]],$P$15:$Q$110,2,0)*H$5,"")</f>
        <v/>
      </c>
      <c r="I116" s="110" t="str">
        <f>IFERROR(VLOOKUP(Mixed[[#This Row],[TS BE MI Rang]],$P$15:$Q$110,2,0)*I$5,"")</f>
        <v/>
      </c>
      <c r="J116" s="109" t="str">
        <f>IFERROR(VLOOKUP(Mixed[[#This Row],[TS BA Mi 07.05.22 Rang]],$P$15:$Q$110,2,0)*J$5,"")</f>
        <v/>
      </c>
      <c r="K116" s="65">
        <v>22</v>
      </c>
      <c r="L116" s="65" t="s">
        <v>434</v>
      </c>
      <c r="M116" s="68" t="s">
        <v>434</v>
      </c>
      <c r="N116" s="213"/>
    </row>
    <row r="117" spans="1:14" x14ac:dyDescent="0.2">
      <c r="A117" s="11">
        <f>RANK(F117,$F$7:$F$172,0)</f>
        <v>95</v>
      </c>
      <c r="B117" s="31" t="s">
        <v>46</v>
      </c>
      <c r="C117" s="11" t="s">
        <v>10</v>
      </c>
      <c r="D11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7" s="27">
        <f>IFERROR(VLOOKUP(B117,IF(IFERROR(VLOOKUP(B117,'&gt; Women &lt;'!$D$7:$F$1014,2,0),0)&gt;1,'&gt; Women &lt;'!$D$7:$H$1014,'&gt; Open &lt;'!$D$7:$H$1044),3,0)," ")</f>
        <v>61.2</v>
      </c>
      <c r="F117" s="109">
        <f>SUM(G117:J117)</f>
        <v>59.4</v>
      </c>
      <c r="G117" s="171">
        <f>IFERROR(VLOOKUP(Mixed[[#This Row],[SM PO MI Rang]],$P$15:$Q$110,2,0)*G$5,"")</f>
        <v>59.4</v>
      </c>
      <c r="H117" s="109" t="str">
        <f>IFERROR(VLOOKUP(Mixed[[#This Row],[TS SH MI Rang]],$P$15:$Q$110,2,0)*H$5,"")</f>
        <v/>
      </c>
      <c r="I117" s="109" t="str">
        <f>IFERROR(VLOOKUP(Mixed[[#This Row],[TS BE MI Rang]],$P$15:$Q$110,2,0)*I$5,"")</f>
        <v/>
      </c>
      <c r="J117" s="109" t="str">
        <f>IFERROR(VLOOKUP(Mixed[[#This Row],[TS BA Mi 07.05.22 Rang]],$P$15:$Q$110,2,0)*J$5,"")</f>
        <v/>
      </c>
      <c r="K117" s="65">
        <v>22</v>
      </c>
      <c r="L117" s="65" t="s">
        <v>434</v>
      </c>
      <c r="M117" s="68" t="s">
        <v>434</v>
      </c>
      <c r="N117" s="213"/>
    </row>
    <row r="118" spans="1:14" x14ac:dyDescent="0.2">
      <c r="A118" s="11">
        <f>RANK(F118,$F$7:$F$172,0)</f>
        <v>95</v>
      </c>
      <c r="B118" s="31" t="s">
        <v>159</v>
      </c>
      <c r="C118" s="9" t="s">
        <v>231</v>
      </c>
      <c r="D11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8" s="27">
        <f>IFERROR(VLOOKUP(B118,IF(IFERROR(VLOOKUP(B118,'&gt; Women &lt;'!$D$7:$F$1014,2,0),0)&gt;1,'&gt; Women &lt;'!$D$7:$H$1014,'&gt; Open &lt;'!$D$7:$H$1044),3,0)," ")</f>
        <v>106</v>
      </c>
      <c r="F118" s="109">
        <f>SUM(G118:J118)</f>
        <v>59.4</v>
      </c>
      <c r="G118" s="109">
        <f>IFERROR(VLOOKUP(Mixed[[#This Row],[SM PO MI Rang]],$P$15:$Q$110,2,0)*G$5,"")</f>
        <v>59.4</v>
      </c>
      <c r="H118" s="109" t="str">
        <f>IFERROR(VLOOKUP(Mixed[[#This Row],[TS SH MI Rang]],$P$15:$Q$110,2,0)*H$5,"")</f>
        <v/>
      </c>
      <c r="I118" s="109" t="str">
        <f>IFERROR(VLOOKUP(Mixed[[#This Row],[TS BE MI Rang]],$P$15:$Q$110,2,0)*I$5,"")</f>
        <v/>
      </c>
      <c r="J118" s="109" t="str">
        <f>IFERROR(VLOOKUP(Mixed[[#This Row],[TS BA Mi 07.05.22 Rang]],$P$15:$Q$110,2,0)*J$5,"")</f>
        <v/>
      </c>
      <c r="K118" s="70">
        <v>20</v>
      </c>
      <c r="L118" s="65" t="s">
        <v>434</v>
      </c>
      <c r="M118" s="68" t="s">
        <v>434</v>
      </c>
      <c r="N118" s="213"/>
    </row>
    <row r="119" spans="1:14" x14ac:dyDescent="0.2">
      <c r="A119" s="34">
        <f>RANK(F119,$F$7:$F$172,0)</f>
        <v>95</v>
      </c>
      <c r="B119" s="25" t="s">
        <v>255</v>
      </c>
      <c r="C119" t="s">
        <v>14</v>
      </c>
      <c r="D11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19" s="27">
        <f>IFERROR(VLOOKUP(B119,IF(IFERROR(VLOOKUP(B119,'&gt; Women &lt;'!$D$7:$F$1014,2,0),0)&gt;1,'&gt; Women &lt;'!$D$7:$H$1014,'&gt; Open &lt;'!$D$7:$H$1044),3,0)," ")</f>
        <v>0</v>
      </c>
      <c r="F119" s="110">
        <f>SUM(G119:J119)</f>
        <v>59.4</v>
      </c>
      <c r="G119" s="110">
        <f>IFERROR(VLOOKUP(Mixed[[#This Row],[SM PO MI Rang]],$P$15:$Q$110,2,0)*G$5,"")</f>
        <v>59.4</v>
      </c>
      <c r="H119" s="110" t="str">
        <f>IFERROR(VLOOKUP(Mixed[[#This Row],[TS SH MI Rang]],$P$15:$Q$110,2,0)*H$5,"")</f>
        <v/>
      </c>
      <c r="I119" s="110" t="str">
        <f>IFERROR(VLOOKUP(Mixed[[#This Row],[TS BE MI Rang]],$P$15:$Q$110,2,0)*I$5,"")</f>
        <v/>
      </c>
      <c r="J119" s="109" t="str">
        <f>IFERROR(VLOOKUP(Mixed[[#This Row],[TS BA Mi 07.05.22 Rang]],$P$15:$Q$110,2,0)*J$5,"")</f>
        <v/>
      </c>
      <c r="K119" s="65">
        <v>20</v>
      </c>
      <c r="L119" s="65" t="s">
        <v>434</v>
      </c>
      <c r="M119" s="68" t="s">
        <v>434</v>
      </c>
      <c r="N119" s="213"/>
    </row>
    <row r="120" spans="1:14" x14ac:dyDescent="0.2">
      <c r="A120" s="11">
        <f>RANK(F120,$F$7:$F$172,0)</f>
        <v>95</v>
      </c>
      <c r="B120" s="25" t="s">
        <v>281</v>
      </c>
      <c r="C120" s="9" t="s">
        <v>10</v>
      </c>
      <c r="D12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0" s="27" t="str">
        <f>IFERROR(VLOOKUP(B120,IF(IFERROR(VLOOKUP(B120,'&gt; Women &lt;'!$D$7:$F$1014,2,0),0)&gt;1,'&gt; Women &lt;'!$D$7:$H$1014,'&gt; Open &lt;'!$D$7:$H$1044),3,0)," ")</f>
        <v xml:space="preserve"> </v>
      </c>
      <c r="F120" s="109">
        <f>SUM(G120:J120)</f>
        <v>59.4</v>
      </c>
      <c r="G120" s="109">
        <f>IFERROR(VLOOKUP(Mixed[[#This Row],[SM PO MI Rang]],$P$15:$Q$110,2,0)*G$5,"")</f>
        <v>59.4</v>
      </c>
      <c r="H120" s="109" t="str">
        <f>IFERROR(VLOOKUP(Mixed[[#This Row],[TS SH MI Rang]],$P$15:$Q$110,2,0)*H$5,"")</f>
        <v/>
      </c>
      <c r="I120" s="109" t="str">
        <f>IFERROR(VLOOKUP(Mixed[[#This Row],[TS BE MI Rang]],$P$15:$Q$110,2,0)*I$5,"")</f>
        <v/>
      </c>
      <c r="J120" s="109" t="str">
        <f>IFERROR(VLOOKUP(Mixed[[#This Row],[TS BA Mi 07.05.22 Rang]],$P$15:$Q$110,2,0)*J$5,"")</f>
        <v/>
      </c>
      <c r="K120" s="65">
        <v>19</v>
      </c>
      <c r="L120" s="65" t="s">
        <v>434</v>
      </c>
      <c r="M120" s="68" t="s">
        <v>434</v>
      </c>
      <c r="N120" s="213"/>
    </row>
    <row r="121" spans="1:14" x14ac:dyDescent="0.2">
      <c r="A121" s="34">
        <f>RANK(F121,$F$7:$F$172,0)</f>
        <v>95</v>
      </c>
      <c r="B121" s="31" t="s">
        <v>57</v>
      </c>
      <c r="C121" s="9" t="s">
        <v>9</v>
      </c>
      <c r="D12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1" s="27">
        <f>IFERROR(VLOOKUP(B121,IF(IFERROR(VLOOKUP(B121,'&gt; Women &lt;'!$D$7:$F$1014,2,0),0)&gt;1,'&gt; Women &lt;'!$D$7:$H$1014,'&gt; Open &lt;'!$D$7:$H$1044),3,0)," ")</f>
        <v>62.400000000000006</v>
      </c>
      <c r="F121" s="110">
        <f>SUM(G121:J121)</f>
        <v>59.4</v>
      </c>
      <c r="G121" s="110">
        <f>IFERROR(VLOOKUP(Mixed[[#This Row],[SM PO MI Rang]],$P$15:$Q$110,2,0)*G$5,"")</f>
        <v>59.4</v>
      </c>
      <c r="H121" s="110" t="str">
        <f>IFERROR(VLOOKUP(Mixed[[#This Row],[TS SH MI Rang]],$P$15:$Q$110,2,0)*H$5,"")</f>
        <v/>
      </c>
      <c r="I121" s="110" t="str">
        <f>IFERROR(VLOOKUP(Mixed[[#This Row],[TS BE MI Rang]],$P$15:$Q$110,2,0)*I$5,"")</f>
        <v/>
      </c>
      <c r="J121" s="109" t="str">
        <f>IFERROR(VLOOKUP(Mixed[[#This Row],[TS BA Mi 07.05.22 Rang]],$P$15:$Q$110,2,0)*J$5,"")</f>
        <v/>
      </c>
      <c r="K121" s="65">
        <v>18</v>
      </c>
      <c r="L121" s="65" t="s">
        <v>434</v>
      </c>
      <c r="M121" s="68" t="s">
        <v>434</v>
      </c>
      <c r="N121" s="213"/>
    </row>
    <row r="122" spans="1:14" x14ac:dyDescent="0.2">
      <c r="A122" s="11">
        <f>RANK(F122,$F$7:$F$172,0)</f>
        <v>95</v>
      </c>
      <c r="B122" s="31" t="s">
        <v>47</v>
      </c>
      <c r="C122" s="9" t="s">
        <v>9</v>
      </c>
      <c r="D12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2" s="27">
        <f>IFERROR(VLOOKUP(B122,IF(IFERROR(VLOOKUP(B122,'&gt; Women &lt;'!$D$7:$F$1014,2,0),0)&gt;1,'&gt; Women &lt;'!$D$7:$H$1014,'&gt; Open &lt;'!$D$7:$H$1044),3,0)," ")</f>
        <v>0</v>
      </c>
      <c r="F122" s="109">
        <f>SUM(G122:J122)</f>
        <v>59.4</v>
      </c>
      <c r="G122" s="171">
        <f>IFERROR(VLOOKUP(Mixed[[#This Row],[SM PO MI Rang]],$P$15:$Q$110,2,0)*G$5,"")</f>
        <v>59.4</v>
      </c>
      <c r="H122" s="109" t="str">
        <f>IFERROR(VLOOKUP(Mixed[[#This Row],[TS SH MI Rang]],$P$15:$Q$110,2,0)*H$5,"")</f>
        <v/>
      </c>
      <c r="I122" s="109" t="str">
        <f>IFERROR(VLOOKUP(Mixed[[#This Row],[TS BE MI Rang]],$P$15:$Q$110,2,0)*I$5,"")</f>
        <v/>
      </c>
      <c r="J122" s="109" t="str">
        <f>IFERROR(VLOOKUP(Mixed[[#This Row],[TS BA Mi 07.05.22 Rang]],$P$15:$Q$110,2,0)*J$5,"")</f>
        <v/>
      </c>
      <c r="K122" s="65">
        <v>18</v>
      </c>
      <c r="L122" s="65" t="s">
        <v>434</v>
      </c>
      <c r="M122" s="68" t="s">
        <v>434</v>
      </c>
      <c r="N122" s="213"/>
    </row>
    <row r="123" spans="1:14" ht="17" x14ac:dyDescent="0.2">
      <c r="A123" s="11">
        <f>RANK(F123,$F$7:$F$172,0)</f>
        <v>95</v>
      </c>
      <c r="B123" s="30" t="s">
        <v>161</v>
      </c>
      <c r="C123" s="1" t="s">
        <v>10</v>
      </c>
      <c r="D12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3" s="27">
        <f>IFERROR(VLOOKUP(B123,IF(IFERROR(VLOOKUP(B123,'&gt; Women &lt;'!$D$7:$F$1014,2,0),0)&gt;1,'&gt; Women &lt;'!$D$7:$H$1014,'&gt; Open &lt;'!$D$7:$H$1044),3,0)," ")</f>
        <v>128.5</v>
      </c>
      <c r="F123" s="109">
        <f>SUM(G123:J123)</f>
        <v>59.4</v>
      </c>
      <c r="G123" s="109">
        <f>IFERROR(VLOOKUP(Mixed[[#This Row],[SM PO MI Rang]],$P$15:$Q$110,2,0)*G$5,"")</f>
        <v>59.4</v>
      </c>
      <c r="H123" s="109" t="str">
        <f>IFERROR(VLOOKUP(Mixed[[#This Row],[TS SH MI Rang]],$P$15:$Q$110,2,0)*H$5,"")</f>
        <v/>
      </c>
      <c r="I123" s="109" t="str">
        <f>IFERROR(VLOOKUP(Mixed[[#This Row],[TS BE MI Rang]],$P$15:$Q$110,2,0)*I$5,"")</f>
        <v/>
      </c>
      <c r="J123" s="109" t="str">
        <f>IFERROR(VLOOKUP(Mixed[[#This Row],[TS BA Mi 07.05.22 Rang]],$P$15:$Q$110,2,0)*J$5,"")</f>
        <v/>
      </c>
      <c r="K123" s="65">
        <v>17</v>
      </c>
      <c r="L123" s="65" t="s">
        <v>434</v>
      </c>
      <c r="M123" s="77" t="s">
        <v>434</v>
      </c>
      <c r="N123" s="214"/>
    </row>
    <row r="124" spans="1:14" x14ac:dyDescent="0.2">
      <c r="A124" s="34">
        <f>RANK(F124,$F$7:$F$172,0)</f>
        <v>118</v>
      </c>
      <c r="B124" s="9" t="s">
        <v>362</v>
      </c>
      <c r="C124" s="11" t="s">
        <v>0</v>
      </c>
      <c r="D12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4" s="27">
        <f>IFERROR(VLOOKUP(B124,IF(IFERROR(VLOOKUP(B124,'&gt; Women &lt;'!$D$7:$F$1014,2,0),0)&gt;1,'&gt; Women &lt;'!$D$7:$H$1014,'&gt; Open &lt;'!$D$7:$H$1044),3,0)," ")</f>
        <v>682.3</v>
      </c>
      <c r="F124" s="110">
        <f>SUM(G124:J124)</f>
        <v>57</v>
      </c>
      <c r="G124" s="110" t="str">
        <f>IFERROR(VLOOKUP(Mixed[[#This Row],[SM PO MI Rang]],$P$15:$Q$110,2,0)*G$5,"")</f>
        <v/>
      </c>
      <c r="H124" s="110" t="str">
        <f>IFERROR(VLOOKUP(Mixed[[#This Row],[TS SH MI Rang]],$P$15:$Q$110,2,0)*H$5,"")</f>
        <v/>
      </c>
      <c r="I124" s="110">
        <f>IFERROR(VLOOKUP(Mixed[[#This Row],[TS BE MI Rang]],$P$15:$Q$110,2,0)*I$5,"")</f>
        <v>57</v>
      </c>
      <c r="J124" s="109" t="str">
        <f>IFERROR(VLOOKUP(Mixed[[#This Row],[TS BA Mi 07.05.22 Rang]],$P$15:$Q$110,2,0)*J$5,"")</f>
        <v/>
      </c>
      <c r="K124" s="65" t="s">
        <v>434</v>
      </c>
      <c r="L124" s="65" t="s">
        <v>434</v>
      </c>
      <c r="M124" s="68">
        <v>32</v>
      </c>
      <c r="N124" s="213"/>
    </row>
    <row r="125" spans="1:14" x14ac:dyDescent="0.2">
      <c r="A125" s="11">
        <f>RANK(F125,$F$7:$F$172,0)</f>
        <v>118</v>
      </c>
      <c r="B125" s="9" t="s">
        <v>361</v>
      </c>
      <c r="C125" s="11" t="s">
        <v>11</v>
      </c>
      <c r="D12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5" s="27" t="str">
        <f>IFERROR(VLOOKUP(B125,IF(IFERROR(VLOOKUP(B125,'&gt; Women &lt;'!$D$7:$F$1014,2,0),0)&gt;1,'&gt; Women &lt;'!$D$7:$H$1014,'&gt; Open &lt;'!$D$7:$H$1044),3,0)," ")</f>
        <v xml:space="preserve"> </v>
      </c>
      <c r="F125" s="109">
        <f>SUM(G125:J125)</f>
        <v>57</v>
      </c>
      <c r="G125" s="109" t="str">
        <f>IFERROR(VLOOKUP(Mixed[[#This Row],[SM PO MI Rang]],$P$15:$Q$110,2,0)*G$5,"")</f>
        <v/>
      </c>
      <c r="H125" s="109" t="str">
        <f>IFERROR(VLOOKUP(Mixed[[#This Row],[TS SH MI Rang]],$P$15:$Q$110,2,0)*H$5,"")</f>
        <v/>
      </c>
      <c r="I125" s="109">
        <f>IFERROR(VLOOKUP(Mixed[[#This Row],[TS BE MI Rang]],$P$15:$Q$110,2,0)*I$5,"")</f>
        <v>57</v>
      </c>
      <c r="J125" s="109" t="str">
        <f>IFERROR(VLOOKUP(Mixed[[#This Row],[TS BA Mi 07.05.22 Rang]],$P$15:$Q$110,2,0)*J$5,"")</f>
        <v/>
      </c>
      <c r="K125" s="65" t="s">
        <v>434</v>
      </c>
      <c r="L125" s="65" t="s">
        <v>434</v>
      </c>
      <c r="M125" s="68">
        <v>32</v>
      </c>
      <c r="N125" s="213"/>
    </row>
    <row r="126" spans="1:14" x14ac:dyDescent="0.2">
      <c r="A126" s="34">
        <f>RANK(F126,$F$7:$F$172,0)</f>
        <v>118</v>
      </c>
      <c r="B126" s="9" t="s">
        <v>360</v>
      </c>
      <c r="C126" s="9" t="s">
        <v>0</v>
      </c>
      <c r="D12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6" s="27" t="str">
        <f>IFERROR(VLOOKUP(B126,IF(IFERROR(VLOOKUP(B126,'&gt; Women &lt;'!$D$7:$F$1014,2,0),0)&gt;1,'&gt; Women &lt;'!$D$7:$H$1014,'&gt; Open &lt;'!$D$7:$H$1044),3,0)," ")</f>
        <v xml:space="preserve"> </v>
      </c>
      <c r="F126" s="110">
        <f>SUM(G126:J126)</f>
        <v>57</v>
      </c>
      <c r="G126" s="110" t="str">
        <f>IFERROR(VLOOKUP(Mixed[[#This Row],[SM PO MI Rang]],$P$15:$Q$110,2,0)*G$5,"")</f>
        <v/>
      </c>
      <c r="H126" s="110" t="str">
        <f>IFERROR(VLOOKUP(Mixed[[#This Row],[TS SH MI Rang]],$P$15:$Q$110,2,0)*H$5,"")</f>
        <v/>
      </c>
      <c r="I126" s="110">
        <f>IFERROR(VLOOKUP(Mixed[[#This Row],[TS BE MI Rang]],$P$15:$Q$110,2,0)*I$5,"")</f>
        <v>57</v>
      </c>
      <c r="J126" s="109" t="str">
        <f>IFERROR(VLOOKUP(Mixed[[#This Row],[TS BA Mi 07.05.22 Rang]],$P$15:$Q$110,2,0)*J$5,"")</f>
        <v/>
      </c>
      <c r="K126" s="65" t="s">
        <v>434</v>
      </c>
      <c r="L126" s="65" t="s">
        <v>434</v>
      </c>
      <c r="M126" s="68">
        <v>31</v>
      </c>
      <c r="N126" s="213"/>
    </row>
    <row r="127" spans="1:14" x14ac:dyDescent="0.2">
      <c r="A127" s="11">
        <f>RANK(F127,$F$7:$F$172,0)</f>
        <v>118</v>
      </c>
      <c r="B127" s="13" t="s">
        <v>358</v>
      </c>
      <c r="C127" s="221" t="s">
        <v>0</v>
      </c>
      <c r="D12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7" s="27">
        <f>IFERROR(VLOOKUP(B127,IF(IFERROR(VLOOKUP(B127,'&gt; Women &lt;'!$D$7:$F$1014,2,0),0)&gt;1,'&gt; Women &lt;'!$D$7:$H$1014,'&gt; Open &lt;'!$D$7:$H$1044),3,0)," ")</f>
        <v>0</v>
      </c>
      <c r="F127" s="109">
        <f>SUM(G127:J127)</f>
        <v>57</v>
      </c>
      <c r="G127" s="109" t="str">
        <f>IFERROR(VLOOKUP(Mixed[[#This Row],[SM PO MI Rang]],$P$15:$Q$110,2,0)*G$5,"")</f>
        <v/>
      </c>
      <c r="H127" s="109" t="str">
        <f>IFERROR(VLOOKUP(Mixed[[#This Row],[TS SH MI Rang]],$P$15:$Q$110,2,0)*H$5,"")</f>
        <v/>
      </c>
      <c r="I127" s="109">
        <f>IFERROR(VLOOKUP(Mixed[[#This Row],[TS BE MI Rang]],$P$15:$Q$110,2,0)*I$5,"")</f>
        <v>57</v>
      </c>
      <c r="J127" s="109" t="str">
        <f>IFERROR(VLOOKUP(Mixed[[#This Row],[TS BA Mi 07.05.22 Rang]],$P$15:$Q$110,2,0)*J$5,"")</f>
        <v/>
      </c>
      <c r="K127" s="65" t="s">
        <v>434</v>
      </c>
      <c r="L127" s="65" t="s">
        <v>434</v>
      </c>
      <c r="M127" s="68">
        <v>30</v>
      </c>
      <c r="N127" s="213"/>
    </row>
    <row r="128" spans="1:14" x14ac:dyDescent="0.2">
      <c r="A128" s="11">
        <f>RANK(F128,$F$7:$F$172,0)</f>
        <v>118</v>
      </c>
      <c r="B128" s="9" t="s">
        <v>356</v>
      </c>
      <c r="C128" s="9" t="s">
        <v>11</v>
      </c>
      <c r="D12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8" s="27" t="str">
        <f>IFERROR(VLOOKUP(B128,IF(IFERROR(VLOOKUP(B128,'&gt; Women &lt;'!$D$7:$F$1014,2,0),0)&gt;1,'&gt; Women &lt;'!$D$7:$H$1014,'&gt; Open &lt;'!$D$7:$H$1044),3,0)," ")</f>
        <v xml:space="preserve"> </v>
      </c>
      <c r="F128" s="109">
        <f>SUM(G128:J128)</f>
        <v>57</v>
      </c>
      <c r="G128" s="109" t="str">
        <f>IFERROR(VLOOKUP(Mixed[[#This Row],[SM PO MI Rang]],$P$15:$Q$110,2,0)*G$5,"")</f>
        <v/>
      </c>
      <c r="H128" s="109" t="str">
        <f>IFERROR(VLOOKUP(Mixed[[#This Row],[TS SH MI Rang]],$P$15:$Q$110,2,0)*H$5,"")</f>
        <v/>
      </c>
      <c r="I128" s="109">
        <f>IFERROR(VLOOKUP(Mixed[[#This Row],[TS BE MI Rang]],$P$15:$Q$110,2,0)*I$5,"")</f>
        <v>57</v>
      </c>
      <c r="J128" s="109" t="str">
        <f>IFERROR(VLOOKUP(Mixed[[#This Row],[TS BA Mi 07.05.22 Rang]],$P$15:$Q$110,2,0)*J$5,"")</f>
        <v/>
      </c>
      <c r="K128" s="65" t="s">
        <v>434</v>
      </c>
      <c r="L128" s="65" t="s">
        <v>434</v>
      </c>
      <c r="M128" s="68">
        <v>29</v>
      </c>
      <c r="N128" s="213"/>
    </row>
    <row r="129" spans="1:14" x14ac:dyDescent="0.2">
      <c r="A129" s="34">
        <f>RANK(F129,$F$7:$F$172,0)</f>
        <v>118</v>
      </c>
      <c r="B129" s="9" t="s">
        <v>357</v>
      </c>
      <c r="C129" s="9" t="s">
        <v>11</v>
      </c>
      <c r="D12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29" s="27" t="str">
        <f>IFERROR(VLOOKUP(B129,IF(IFERROR(VLOOKUP(B129,'&gt; Women &lt;'!$D$7:$F$1014,2,0),0)&gt;1,'&gt; Women &lt;'!$D$7:$H$1014,'&gt; Open &lt;'!$D$7:$H$1044),3,0)," ")</f>
        <v xml:space="preserve"> </v>
      </c>
      <c r="F129" s="110">
        <f>SUM(G129:J129)</f>
        <v>57</v>
      </c>
      <c r="G129" s="110" t="str">
        <f>IFERROR(VLOOKUP(Mixed[[#This Row],[SM PO MI Rang]],$P$15:$Q$110,2,0)*G$5,"")</f>
        <v/>
      </c>
      <c r="H129" s="110" t="str">
        <f>IFERROR(VLOOKUP(Mixed[[#This Row],[TS SH MI Rang]],$P$15:$Q$110,2,0)*H$5,"")</f>
        <v/>
      </c>
      <c r="I129" s="110">
        <f>IFERROR(VLOOKUP(Mixed[[#This Row],[TS BE MI Rang]],$P$15:$Q$110,2,0)*I$5,"")</f>
        <v>57</v>
      </c>
      <c r="J129" s="109" t="str">
        <f>IFERROR(VLOOKUP(Mixed[[#This Row],[TS BA Mi 07.05.22 Rang]],$P$15:$Q$110,2,0)*J$5,"")</f>
        <v/>
      </c>
      <c r="K129" s="65" t="s">
        <v>434</v>
      </c>
      <c r="L129" s="65" t="s">
        <v>434</v>
      </c>
      <c r="M129" s="68">
        <v>29</v>
      </c>
      <c r="N129" s="213"/>
    </row>
    <row r="130" spans="1:14" x14ac:dyDescent="0.2">
      <c r="A130" s="11">
        <f>RANK(F130,$F$7:$F$172,0)</f>
        <v>118</v>
      </c>
      <c r="B130" s="9" t="s">
        <v>354</v>
      </c>
      <c r="C130" s="9" t="s">
        <v>0</v>
      </c>
      <c r="D13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0" s="27" t="str">
        <f>IFERROR(VLOOKUP(B130,IF(IFERROR(VLOOKUP(B130,'&gt; Women &lt;'!$D$7:$F$1014,2,0),0)&gt;1,'&gt; Women &lt;'!$D$7:$H$1014,'&gt; Open &lt;'!$D$7:$H$1044),3,0)," ")</f>
        <v xml:space="preserve"> </v>
      </c>
      <c r="F130" s="109">
        <f>SUM(G130:J130)</f>
        <v>57</v>
      </c>
      <c r="G130" s="109" t="str">
        <f>IFERROR(VLOOKUP(Mixed[[#This Row],[SM PO MI Rang]],$P$15:$Q$110,2,0)*G$5,"")</f>
        <v/>
      </c>
      <c r="H130" s="109" t="str">
        <f>IFERROR(VLOOKUP(Mixed[[#This Row],[TS SH MI Rang]],$P$15:$Q$110,2,0)*H$5,"")</f>
        <v/>
      </c>
      <c r="I130" s="109">
        <f>IFERROR(VLOOKUP(Mixed[[#This Row],[TS BE MI Rang]],$P$15:$Q$110,2,0)*I$5,"")</f>
        <v>57</v>
      </c>
      <c r="J130" s="109" t="str">
        <f>IFERROR(VLOOKUP(Mixed[[#This Row],[TS BA Mi 07.05.22 Rang]],$P$15:$Q$110,2,0)*J$5,"")</f>
        <v/>
      </c>
      <c r="K130" s="65" t="s">
        <v>434</v>
      </c>
      <c r="L130" s="65" t="s">
        <v>434</v>
      </c>
      <c r="M130" s="68">
        <v>28</v>
      </c>
      <c r="N130" s="213"/>
    </row>
    <row r="131" spans="1:14" x14ac:dyDescent="0.2">
      <c r="A131" s="34">
        <f>RANK(F131,$F$7:$F$172,0)</f>
        <v>118</v>
      </c>
      <c r="B131" s="9" t="s">
        <v>355</v>
      </c>
      <c r="C131" s="9" t="s">
        <v>11</v>
      </c>
      <c r="D13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1" s="27" t="str">
        <f>IFERROR(VLOOKUP(B131,IF(IFERROR(VLOOKUP(B131,'&gt; Women &lt;'!$D$7:$F$1014,2,0),0)&gt;1,'&gt; Women &lt;'!$D$7:$H$1014,'&gt; Open &lt;'!$D$7:$H$1044),3,0)," ")</f>
        <v xml:space="preserve"> </v>
      </c>
      <c r="F131" s="110">
        <f>SUM(G131:J131)</f>
        <v>57</v>
      </c>
      <c r="G131" s="110" t="str">
        <f>IFERROR(VLOOKUP(Mixed[[#This Row],[SM PO MI Rang]],$P$15:$Q$110,2,0)*G$5,"")</f>
        <v/>
      </c>
      <c r="H131" s="110" t="str">
        <f>IFERROR(VLOOKUP(Mixed[[#This Row],[TS SH MI Rang]],$P$15:$Q$110,2,0)*H$5,"")</f>
        <v/>
      </c>
      <c r="I131" s="110">
        <f>IFERROR(VLOOKUP(Mixed[[#This Row],[TS BE MI Rang]],$P$15:$Q$110,2,0)*I$5,"")</f>
        <v>57</v>
      </c>
      <c r="J131" s="109" t="str">
        <f>IFERROR(VLOOKUP(Mixed[[#This Row],[TS BA Mi 07.05.22 Rang]],$P$15:$Q$110,2,0)*J$5,"")</f>
        <v/>
      </c>
      <c r="K131" s="65" t="s">
        <v>434</v>
      </c>
      <c r="L131" s="65" t="s">
        <v>434</v>
      </c>
      <c r="M131" s="68">
        <v>28</v>
      </c>
      <c r="N131" s="213"/>
    </row>
    <row r="132" spans="1:14" x14ac:dyDescent="0.2">
      <c r="A132" s="34">
        <f>RANK(F132,$F$7:$F$172,0)</f>
        <v>118</v>
      </c>
      <c r="B132" s="9" t="s">
        <v>353</v>
      </c>
      <c r="C132" s="9" t="s">
        <v>13</v>
      </c>
      <c r="D13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2" s="27" t="str">
        <f>IFERROR(VLOOKUP(B132,IF(IFERROR(VLOOKUP(B132,'&gt; Women &lt;'!$D$7:$F$1014,2,0),0)&gt;1,'&gt; Women &lt;'!$D$7:$H$1014,'&gt; Open &lt;'!$D$7:$H$1044),3,0)," ")</f>
        <v xml:space="preserve"> </v>
      </c>
      <c r="F132" s="110">
        <f>SUM(G132:J132)</f>
        <v>57</v>
      </c>
      <c r="G132" s="110" t="str">
        <f>IFERROR(VLOOKUP(Mixed[[#This Row],[SM PO MI Rang]],$P$15:$Q$110,2,0)*G$5,"")</f>
        <v/>
      </c>
      <c r="H132" s="110" t="str">
        <f>IFERROR(VLOOKUP(Mixed[[#This Row],[TS SH MI Rang]],$P$15:$Q$110,2,0)*H$5,"")</f>
        <v/>
      </c>
      <c r="I132" s="110">
        <f>IFERROR(VLOOKUP(Mixed[[#This Row],[TS BE MI Rang]],$P$15:$Q$110,2,0)*I$5,"")</f>
        <v>57</v>
      </c>
      <c r="J132" s="109" t="str">
        <f>IFERROR(VLOOKUP(Mixed[[#This Row],[TS BA Mi 07.05.22 Rang]],$P$15:$Q$110,2,0)*J$5,"")</f>
        <v/>
      </c>
      <c r="K132" s="65" t="s">
        <v>434</v>
      </c>
      <c r="L132" s="65" t="s">
        <v>434</v>
      </c>
      <c r="M132" s="68">
        <v>27</v>
      </c>
      <c r="N132" s="213"/>
    </row>
    <row r="133" spans="1:14" x14ac:dyDescent="0.2">
      <c r="A133" s="11">
        <f>RANK(F133,$F$7:$F$172,0)</f>
        <v>118</v>
      </c>
      <c r="B133" s="9" t="s">
        <v>351</v>
      </c>
      <c r="C133" s="9" t="s">
        <v>11</v>
      </c>
      <c r="D13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3" s="27" t="str">
        <f>IFERROR(VLOOKUP(B133,IF(IFERROR(VLOOKUP(B133,'&gt; Women &lt;'!$D$7:$F$1014,2,0),0)&gt;1,'&gt; Women &lt;'!$D$7:$H$1014,'&gt; Open &lt;'!$D$7:$H$1044),3,0)," ")</f>
        <v xml:space="preserve"> </v>
      </c>
      <c r="F133" s="109">
        <f>SUM(G133:J133)</f>
        <v>57</v>
      </c>
      <c r="G133" s="109" t="str">
        <f>IFERROR(VLOOKUP(Mixed[[#This Row],[SM PO MI Rang]],$P$15:$Q$110,2,0)*G$5,"")</f>
        <v/>
      </c>
      <c r="H133" s="109" t="str">
        <f>IFERROR(VLOOKUP(Mixed[[#This Row],[TS SH MI Rang]],$P$15:$Q$110,2,0)*H$5,"")</f>
        <v/>
      </c>
      <c r="I133" s="109">
        <f>IFERROR(VLOOKUP(Mixed[[#This Row],[TS BE MI Rang]],$P$15:$Q$110,2,0)*I$5,"")</f>
        <v>57</v>
      </c>
      <c r="J133" s="109" t="str">
        <f>IFERROR(VLOOKUP(Mixed[[#This Row],[TS BA Mi 07.05.22 Rang]],$P$15:$Q$110,2,0)*J$5,"")</f>
        <v/>
      </c>
      <c r="K133" s="65" t="s">
        <v>434</v>
      </c>
      <c r="L133" s="65" t="s">
        <v>434</v>
      </c>
      <c r="M133" s="68">
        <v>26</v>
      </c>
      <c r="N133" s="213"/>
    </row>
    <row r="134" spans="1:14" x14ac:dyDescent="0.2">
      <c r="A134" s="34">
        <f>RANK(F134,$F$7:$F$172,0)</f>
        <v>118</v>
      </c>
      <c r="B134" s="11" t="s">
        <v>352</v>
      </c>
      <c r="C134" s="4" t="s">
        <v>11</v>
      </c>
      <c r="D13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4" s="27" t="str">
        <f>IFERROR(VLOOKUP(B134,IF(IFERROR(VLOOKUP(B134,'&gt; Women &lt;'!$D$7:$F$1014,2,0),0)&gt;1,'&gt; Women &lt;'!$D$7:$H$1014,'&gt; Open &lt;'!$D$7:$H$1044),3,0)," ")</f>
        <v xml:space="preserve"> </v>
      </c>
      <c r="F134" s="110">
        <f>SUM(G134:J134)</f>
        <v>57</v>
      </c>
      <c r="G134" s="110" t="str">
        <f>IFERROR(VLOOKUP(Mixed[[#This Row],[SM PO MI Rang]],$P$15:$Q$110,2,0)*G$5,"")</f>
        <v/>
      </c>
      <c r="H134" s="110" t="str">
        <f>IFERROR(VLOOKUP(Mixed[[#This Row],[TS SH MI Rang]],$P$15:$Q$110,2,0)*H$5,"")</f>
        <v/>
      </c>
      <c r="I134" s="110">
        <f>IFERROR(VLOOKUP(Mixed[[#This Row],[TS BE MI Rang]],$P$15:$Q$110,2,0)*I$5,"")</f>
        <v>57</v>
      </c>
      <c r="J134" s="109" t="str">
        <f>IFERROR(VLOOKUP(Mixed[[#This Row],[TS BA Mi 07.05.22 Rang]],$P$15:$Q$110,2,0)*J$5,"")</f>
        <v/>
      </c>
      <c r="K134" s="65" t="s">
        <v>434</v>
      </c>
      <c r="L134" s="65" t="s">
        <v>434</v>
      </c>
      <c r="M134" s="68">
        <v>26</v>
      </c>
      <c r="N134" s="213"/>
    </row>
    <row r="135" spans="1:14" x14ac:dyDescent="0.2">
      <c r="A135" s="34">
        <f>RANK(F135,$F$7:$F$172,0)</f>
        <v>118</v>
      </c>
      <c r="B135" s="25" t="s">
        <v>237</v>
      </c>
      <c r="C135" s="4" t="s">
        <v>0</v>
      </c>
      <c r="D13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5" s="27">
        <f>IFERROR(VLOOKUP(B135,IF(IFERROR(VLOOKUP(B135,'&gt; Women &lt;'!$D$7:$F$1014,2,0),0)&gt;1,'&gt; Women &lt;'!$D$7:$H$1014,'&gt; Open &lt;'!$D$7:$H$1044),3,0)," ")</f>
        <v>504</v>
      </c>
      <c r="F135" s="110">
        <f>SUM(G135:J135)</f>
        <v>57</v>
      </c>
      <c r="G135" s="110" t="str">
        <f>IFERROR(VLOOKUP(Mixed[[#This Row],[SM PO MI Rang]],$P$15:$Q$110,2,0)*G$5,"")</f>
        <v/>
      </c>
      <c r="H135" s="110" t="str">
        <f>IFERROR(VLOOKUP(Mixed[[#This Row],[TS SH MI Rang]],$P$15:$Q$110,2,0)*H$5,"")</f>
        <v/>
      </c>
      <c r="I135" s="110">
        <f>IFERROR(VLOOKUP(Mixed[[#This Row],[TS BE MI Rang]],$P$15:$Q$110,2,0)*I$5,"")</f>
        <v>57</v>
      </c>
      <c r="J135" s="109" t="str">
        <f>IFERROR(VLOOKUP(Mixed[[#This Row],[TS BA Mi 07.05.22 Rang]],$P$15:$Q$110,2,0)*J$5,"")</f>
        <v/>
      </c>
      <c r="K135" s="65" t="s">
        <v>434</v>
      </c>
      <c r="L135" s="65" t="s">
        <v>434</v>
      </c>
      <c r="M135" s="68">
        <v>25</v>
      </c>
      <c r="N135" s="213"/>
    </row>
    <row r="136" spans="1:14" x14ac:dyDescent="0.2">
      <c r="A136" s="11">
        <f>RANK(F136,$F$7:$F$172,0)</f>
        <v>118</v>
      </c>
      <c r="B136" s="9" t="s">
        <v>350</v>
      </c>
      <c r="C136" s="9" t="s">
        <v>0</v>
      </c>
      <c r="D13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6" s="27">
        <f>IFERROR(VLOOKUP(B136,IF(IFERROR(VLOOKUP(B136,'&gt; Women &lt;'!$D$7:$F$1014,2,0),0)&gt;1,'&gt; Women &lt;'!$D$7:$H$1014,'&gt; Open &lt;'!$D$7:$H$1044),3,0)," ")</f>
        <v>59.2</v>
      </c>
      <c r="F136" s="109">
        <f>SUM(G136:J136)</f>
        <v>57</v>
      </c>
      <c r="G136" s="109" t="str">
        <f>IFERROR(VLOOKUP(Mixed[[#This Row],[SM PO MI Rang]],$P$15:$Q$110,2,0)*G$5,"")</f>
        <v/>
      </c>
      <c r="H136" s="109" t="str">
        <f>IFERROR(VLOOKUP(Mixed[[#This Row],[TS SH MI Rang]],$P$15:$Q$110,2,0)*H$5,"")</f>
        <v/>
      </c>
      <c r="I136" s="109">
        <f>IFERROR(VLOOKUP(Mixed[[#This Row],[TS BE MI Rang]],$P$15:$Q$110,2,0)*I$5,"")</f>
        <v>57</v>
      </c>
      <c r="J136" s="109" t="str">
        <f>IFERROR(VLOOKUP(Mixed[[#This Row],[TS BA Mi 07.05.22 Rang]],$P$15:$Q$110,2,0)*J$5,"")</f>
        <v/>
      </c>
      <c r="K136" s="65" t="s">
        <v>434</v>
      </c>
      <c r="L136" s="65" t="s">
        <v>434</v>
      </c>
      <c r="M136" s="68">
        <v>25</v>
      </c>
      <c r="N136" s="213"/>
    </row>
    <row r="137" spans="1:14" x14ac:dyDescent="0.2">
      <c r="A137" s="34">
        <f>RANK(F137,$F$7:$F$172,0)</f>
        <v>118</v>
      </c>
      <c r="B137" s="31" t="s">
        <v>100</v>
      </c>
      <c r="C137" s="9" t="s">
        <v>17</v>
      </c>
      <c r="D13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7" s="27">
        <f>IFERROR(VLOOKUP(B137,IF(IFERROR(VLOOKUP(B137,'&gt; Women &lt;'!$D$7:$F$1014,2,0),0)&gt;1,'&gt; Women &lt;'!$D$7:$H$1014,'&gt; Open &lt;'!$D$7:$H$1044),3,0)," ")</f>
        <v>44.4</v>
      </c>
      <c r="F137" s="110">
        <f>SUM(G137:J137)</f>
        <v>57</v>
      </c>
      <c r="G137" s="110" t="str">
        <f>IFERROR(VLOOKUP(Mixed[[#This Row],[SM PO MI Rang]],$P$15:$Q$110,2,0)*G$5,"")</f>
        <v/>
      </c>
      <c r="H137" s="110" t="str">
        <f>IFERROR(VLOOKUP(Mixed[[#This Row],[TS SH MI Rang]],$P$15:$Q$110,2,0)*H$5,"")</f>
        <v/>
      </c>
      <c r="I137" s="110">
        <f>IFERROR(VLOOKUP(Mixed[[#This Row],[TS BE MI Rang]],$P$15:$Q$110,2,0)*I$5,"")</f>
        <v>57</v>
      </c>
      <c r="J137" s="109" t="str">
        <f>IFERROR(VLOOKUP(Mixed[[#This Row],[TS BA Mi 07.05.22 Rang]],$P$15:$Q$110,2,0)*J$5,"")</f>
        <v/>
      </c>
      <c r="K137" s="65" t="s">
        <v>434</v>
      </c>
      <c r="L137" s="65" t="s">
        <v>434</v>
      </c>
      <c r="M137" s="68">
        <v>24</v>
      </c>
      <c r="N137" s="213"/>
    </row>
    <row r="138" spans="1:14" x14ac:dyDescent="0.2">
      <c r="A138" s="11">
        <f>RANK(F138,$F$7:$F$172,0)</f>
        <v>118</v>
      </c>
      <c r="B138" s="15" t="s">
        <v>125</v>
      </c>
      <c r="C138" s="11" t="s">
        <v>17</v>
      </c>
      <c r="D13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8" s="27">
        <f>IFERROR(VLOOKUP(B138,IF(IFERROR(VLOOKUP(B138,'&gt; Women &lt;'!$D$7:$F$1014,2,0),0)&gt;1,'&gt; Women &lt;'!$D$7:$H$1014,'&gt; Open &lt;'!$D$7:$H$1044),3,0)," ")</f>
        <v>0</v>
      </c>
      <c r="F138" s="109">
        <f>SUM(G138:J138)</f>
        <v>57</v>
      </c>
      <c r="G138" s="171" t="str">
        <f>IFERROR(VLOOKUP(Mixed[[#This Row],[SM PO MI Rang]],$P$15:$Q$110,2,0)*G$5,"")</f>
        <v/>
      </c>
      <c r="H138" s="109" t="str">
        <f>IFERROR(VLOOKUP(Mixed[[#This Row],[TS SH MI Rang]],$P$15:$Q$110,2,0)*H$5,"")</f>
        <v/>
      </c>
      <c r="I138" s="109">
        <f>IFERROR(VLOOKUP(Mixed[[#This Row],[TS BE MI Rang]],$P$15:$Q$110,2,0)*I$5,"")</f>
        <v>57</v>
      </c>
      <c r="J138" s="109" t="str">
        <f>IFERROR(VLOOKUP(Mixed[[#This Row],[TS BA Mi 07.05.22 Rang]],$P$15:$Q$110,2,0)*J$5,"")</f>
        <v/>
      </c>
      <c r="K138" s="65" t="s">
        <v>434</v>
      </c>
      <c r="L138" s="65" t="s">
        <v>434</v>
      </c>
      <c r="M138" s="68">
        <v>24</v>
      </c>
      <c r="N138" s="213"/>
    </row>
    <row r="139" spans="1:14" x14ac:dyDescent="0.2">
      <c r="A139" s="34">
        <f>RANK(F139,$F$7:$F$172,0)</f>
        <v>118</v>
      </c>
      <c r="B139" s="31" t="s">
        <v>73</v>
      </c>
      <c r="C139" s="9" t="s">
        <v>11</v>
      </c>
      <c r="D13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39" s="27">
        <f>IFERROR(VLOOKUP(B139,IF(IFERROR(VLOOKUP(B139,'&gt; Women &lt;'!$D$7:$F$1014,2,0),0)&gt;1,'&gt; Women &lt;'!$D$7:$H$1014,'&gt; Open &lt;'!$D$7:$H$1044),3,0)," ")</f>
        <v>0</v>
      </c>
      <c r="F139" s="110">
        <f>SUM(G139:J139)</f>
        <v>57</v>
      </c>
      <c r="G139" s="110" t="str">
        <f>IFERROR(VLOOKUP(Mixed[[#This Row],[SM PO MI Rang]],$P$15:$Q$110,2,0)*G$5,"")</f>
        <v/>
      </c>
      <c r="H139" s="110" t="str">
        <f>IFERROR(VLOOKUP(Mixed[[#This Row],[TS SH MI Rang]],$P$15:$Q$110,2,0)*H$5,"")</f>
        <v/>
      </c>
      <c r="I139" s="110">
        <f>IFERROR(VLOOKUP(Mixed[[#This Row],[TS BE MI Rang]],$P$15:$Q$110,2,0)*I$5,"")</f>
        <v>57</v>
      </c>
      <c r="J139" s="109" t="str">
        <f>IFERROR(VLOOKUP(Mixed[[#This Row],[TS BA Mi 07.05.22 Rang]],$P$15:$Q$110,2,0)*J$5,"")</f>
        <v/>
      </c>
      <c r="K139" s="65" t="s">
        <v>434</v>
      </c>
      <c r="L139" s="65" t="s">
        <v>434</v>
      </c>
      <c r="M139" s="68">
        <v>23</v>
      </c>
      <c r="N139" s="213"/>
    </row>
    <row r="140" spans="1:14" x14ac:dyDescent="0.2">
      <c r="A140" s="11">
        <f>RANK(F140,$F$7:$F$172,0)</f>
        <v>118</v>
      </c>
      <c r="B140" s="9" t="s">
        <v>348</v>
      </c>
      <c r="C140" s="9" t="s">
        <v>11</v>
      </c>
      <c r="D14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0" s="27" t="str">
        <f>IFERROR(VLOOKUP(B140,IF(IFERROR(VLOOKUP(B140,'&gt; Women &lt;'!$D$7:$F$1014,2,0),0)&gt;1,'&gt; Women &lt;'!$D$7:$H$1014,'&gt; Open &lt;'!$D$7:$H$1044),3,0)," ")</f>
        <v xml:space="preserve"> </v>
      </c>
      <c r="F140" s="109">
        <f>SUM(G140:J140)</f>
        <v>57</v>
      </c>
      <c r="G140" s="109" t="str">
        <f>IFERROR(VLOOKUP(Mixed[[#This Row],[SM PO MI Rang]],$P$15:$Q$110,2,0)*G$5,"")</f>
        <v/>
      </c>
      <c r="H140" s="109" t="str">
        <f>IFERROR(VLOOKUP(Mixed[[#This Row],[TS SH MI Rang]],$P$15:$Q$110,2,0)*H$5,"")</f>
        <v/>
      </c>
      <c r="I140" s="109">
        <f>IFERROR(VLOOKUP(Mixed[[#This Row],[TS BE MI Rang]],$P$15:$Q$110,2,0)*I$5,"")</f>
        <v>57</v>
      </c>
      <c r="J140" s="109" t="str">
        <f>IFERROR(VLOOKUP(Mixed[[#This Row],[TS BA Mi 07.05.22 Rang]],$P$15:$Q$110,2,0)*J$5,"")</f>
        <v/>
      </c>
      <c r="K140" s="65" t="s">
        <v>434</v>
      </c>
      <c r="L140" s="65" t="s">
        <v>434</v>
      </c>
      <c r="M140" s="68">
        <v>22</v>
      </c>
      <c r="N140" s="213"/>
    </row>
    <row r="141" spans="1:14" x14ac:dyDescent="0.2">
      <c r="A141" s="34">
        <f>RANK(F141,$F$7:$F$172,0)</f>
        <v>118</v>
      </c>
      <c r="B141" s="9" t="s">
        <v>349</v>
      </c>
      <c r="C141" s="9" t="s">
        <v>11</v>
      </c>
      <c r="D14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1" s="27" t="str">
        <f>IFERROR(VLOOKUP(B141,IF(IFERROR(VLOOKUP(B141,'&gt; Women &lt;'!$D$7:$F$1014,2,0),0)&gt;1,'&gt; Women &lt;'!$D$7:$H$1014,'&gt; Open &lt;'!$D$7:$H$1044),3,0)," ")</f>
        <v xml:space="preserve"> </v>
      </c>
      <c r="F141" s="110">
        <f>SUM(G141:J141)</f>
        <v>57</v>
      </c>
      <c r="G141" s="110" t="str">
        <f>IFERROR(VLOOKUP(Mixed[[#This Row],[SM PO MI Rang]],$P$15:$Q$110,2,0)*G$5,"")</f>
        <v/>
      </c>
      <c r="H141" s="110" t="str">
        <f>IFERROR(VLOOKUP(Mixed[[#This Row],[TS SH MI Rang]],$P$15:$Q$110,2,0)*H$5,"")</f>
        <v/>
      </c>
      <c r="I141" s="110">
        <f>IFERROR(VLOOKUP(Mixed[[#This Row],[TS BE MI Rang]],$P$15:$Q$110,2,0)*I$5,"")</f>
        <v>57</v>
      </c>
      <c r="J141" s="109" t="str">
        <f>IFERROR(VLOOKUP(Mixed[[#This Row],[TS BA Mi 07.05.22 Rang]],$P$15:$Q$110,2,0)*J$5,"")</f>
        <v/>
      </c>
      <c r="K141" s="65" t="s">
        <v>434</v>
      </c>
      <c r="L141" s="65" t="s">
        <v>434</v>
      </c>
      <c r="M141" s="68">
        <v>22</v>
      </c>
      <c r="N141" s="213"/>
    </row>
    <row r="142" spans="1:14" x14ac:dyDescent="0.2">
      <c r="A142" s="11">
        <f>RANK(F142,$F$7:$F$172,0)</f>
        <v>118</v>
      </c>
      <c r="B142" s="31" t="s">
        <v>157</v>
      </c>
      <c r="C142" s="1" t="s">
        <v>12</v>
      </c>
      <c r="D14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2" s="27">
        <f>IFERROR(VLOOKUP(B142,IF(IFERROR(VLOOKUP(B142,'&gt; Women &lt;'!$D$7:$F$1014,2,0),0)&gt;1,'&gt; Women &lt;'!$D$7:$H$1014,'&gt; Open &lt;'!$D$7:$H$1044),3,0)," ")</f>
        <v>0</v>
      </c>
      <c r="F142" s="109">
        <f>SUM(G142:J142)</f>
        <v>57</v>
      </c>
      <c r="G142" s="109" t="str">
        <f>IFERROR(VLOOKUP(Mixed[[#This Row],[SM PO MI Rang]],$P$15:$Q$110,2,0)*G$5,"")</f>
        <v/>
      </c>
      <c r="H142" s="109" t="str">
        <f>IFERROR(VLOOKUP(Mixed[[#This Row],[TS SH MI Rang]],$P$15:$Q$110,2,0)*H$5,"")</f>
        <v/>
      </c>
      <c r="I142" s="109">
        <f>IFERROR(VLOOKUP(Mixed[[#This Row],[TS BE MI Rang]],$P$15:$Q$110,2,0)*I$5,"")</f>
        <v>57</v>
      </c>
      <c r="J142" s="109" t="str">
        <f>IFERROR(VLOOKUP(Mixed[[#This Row],[TS BA Mi 07.05.22 Rang]],$P$15:$Q$110,2,0)*J$5,"")</f>
        <v/>
      </c>
      <c r="K142" s="65" t="s">
        <v>434</v>
      </c>
      <c r="L142" s="65" t="s">
        <v>434</v>
      </c>
      <c r="M142" s="69">
        <v>21</v>
      </c>
      <c r="N142" s="213"/>
    </row>
    <row r="143" spans="1:14" x14ac:dyDescent="0.2">
      <c r="A143" s="34">
        <f>RANK(F143,$F$7:$F$172,0)</f>
        <v>118</v>
      </c>
      <c r="B143" s="8" t="s">
        <v>188</v>
      </c>
      <c r="C143" s="9" t="s">
        <v>12</v>
      </c>
      <c r="D14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3" s="27">
        <f>IFERROR(VLOOKUP(B143,IF(IFERROR(VLOOKUP(B143,'&gt; Women &lt;'!$D$7:$F$1014,2,0),0)&gt;1,'&gt; Women &lt;'!$D$7:$H$1014,'&gt; Open &lt;'!$D$7:$H$1044),3,0)," ")</f>
        <v>220.4</v>
      </c>
      <c r="F143" s="110">
        <f>SUM(G143:J143)</f>
        <v>57</v>
      </c>
      <c r="G143" s="110" t="str">
        <f>IFERROR(VLOOKUP(Mixed[[#This Row],[SM PO MI Rang]],$P$15:$Q$110,2,0)*G$5,"")</f>
        <v/>
      </c>
      <c r="H143" s="110" t="str">
        <f>IFERROR(VLOOKUP(Mixed[[#This Row],[TS SH MI Rang]],$P$15:$Q$110,2,0)*H$5,"")</f>
        <v/>
      </c>
      <c r="I143" s="110">
        <f>IFERROR(VLOOKUP(Mixed[[#This Row],[TS BE MI Rang]],$P$15:$Q$110,2,0)*I$5,"")</f>
        <v>57</v>
      </c>
      <c r="J143" s="109" t="str">
        <f>IFERROR(VLOOKUP(Mixed[[#This Row],[TS BA Mi 07.05.22 Rang]],$P$15:$Q$110,2,0)*J$5,"")</f>
        <v/>
      </c>
      <c r="K143" s="65" t="s">
        <v>434</v>
      </c>
      <c r="L143" s="65" t="s">
        <v>434</v>
      </c>
      <c r="M143" s="68">
        <v>21</v>
      </c>
      <c r="N143" s="213"/>
    </row>
    <row r="144" spans="1:14" x14ac:dyDescent="0.2">
      <c r="A144" s="34">
        <f>RANK(F144,$F$7:$F$172,0)</f>
        <v>118</v>
      </c>
      <c r="B144" s="25" t="s">
        <v>280</v>
      </c>
      <c r="C144" t="s">
        <v>12</v>
      </c>
      <c r="D14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4" s="27">
        <f>IFERROR(VLOOKUP(B144,IF(IFERROR(VLOOKUP(B144,'&gt; Women &lt;'!$D$7:$F$1014,2,0),0)&gt;1,'&gt; Women &lt;'!$D$7:$H$1014,'&gt; Open &lt;'!$D$7:$H$1044),3,0)," ")</f>
        <v>220.4</v>
      </c>
      <c r="F144" s="110">
        <f>SUM(G144:J144)</f>
        <v>57</v>
      </c>
      <c r="G144" s="110" t="str">
        <f>IFERROR(VLOOKUP(Mixed[[#This Row],[SM PO MI Rang]],$P$15:$Q$110,2,0)*G$5,"")</f>
        <v/>
      </c>
      <c r="H144" s="110" t="str">
        <f>IFERROR(VLOOKUP(Mixed[[#This Row],[TS SH MI Rang]],$P$15:$Q$110,2,0)*H$5,"")</f>
        <v/>
      </c>
      <c r="I144" s="110">
        <f>IFERROR(VLOOKUP(Mixed[[#This Row],[TS BE MI Rang]],$P$15:$Q$110,2,0)*I$5,"")</f>
        <v>57</v>
      </c>
      <c r="J144" s="109" t="str">
        <f>IFERROR(VLOOKUP(Mixed[[#This Row],[TS BA Mi 07.05.22 Rang]],$P$15:$Q$110,2,0)*J$5,"")</f>
        <v/>
      </c>
      <c r="K144" s="65" t="s">
        <v>434</v>
      </c>
      <c r="L144" s="65" t="s">
        <v>434</v>
      </c>
      <c r="M144" s="68">
        <v>18</v>
      </c>
      <c r="N144" s="213"/>
    </row>
    <row r="145" spans="1:14" x14ac:dyDescent="0.2">
      <c r="A145" s="11">
        <f>RANK(F145,$F$7:$F$172,0)</f>
        <v>118</v>
      </c>
      <c r="B145" s="11" t="s">
        <v>347</v>
      </c>
      <c r="C145" s="9" t="s">
        <v>12</v>
      </c>
      <c r="D14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5" s="27">
        <f>IFERROR(VLOOKUP(B145,IF(IFERROR(VLOOKUP(B145,'&gt; Women &lt;'!$D$7:$F$1014,2,0),0)&gt;1,'&gt; Women &lt;'!$D$7:$H$1014,'&gt; Open &lt;'!$D$7:$H$1044),3,0)," ")</f>
        <v>0</v>
      </c>
      <c r="F145" s="109">
        <f>SUM(G145:J145)</f>
        <v>57</v>
      </c>
      <c r="G145" s="109" t="str">
        <f>IFERROR(VLOOKUP(Mixed[[#This Row],[SM PO MI Rang]],$P$15:$Q$110,2,0)*G$5,"")</f>
        <v/>
      </c>
      <c r="H145" s="109" t="str">
        <f>IFERROR(VLOOKUP(Mixed[[#This Row],[TS SH MI Rang]],$P$15:$Q$110,2,0)*H$5,"")</f>
        <v/>
      </c>
      <c r="I145" s="109">
        <f>IFERROR(VLOOKUP(Mixed[[#This Row],[TS BE MI Rang]],$P$15:$Q$110,2,0)*I$5,"")</f>
        <v>57</v>
      </c>
      <c r="J145" s="109" t="str">
        <f>IFERROR(VLOOKUP(Mixed[[#This Row],[TS BA Mi 07.05.22 Rang]],$P$15:$Q$110,2,0)*J$5,"")</f>
        <v/>
      </c>
      <c r="K145" s="65" t="s">
        <v>434</v>
      </c>
      <c r="L145" s="65" t="s">
        <v>434</v>
      </c>
      <c r="M145" s="68">
        <v>18</v>
      </c>
      <c r="N145" s="213"/>
    </row>
    <row r="146" spans="1:14" x14ac:dyDescent="0.2">
      <c r="A146" s="34">
        <f>RANK(F146,$F$7:$F$172,0)</f>
        <v>140</v>
      </c>
      <c r="B146" s="25" t="s">
        <v>240</v>
      </c>
      <c r="C146" t="s">
        <v>11</v>
      </c>
      <c r="D14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6" s="27">
        <f>IFERROR(VLOOKUP(B146,IF(IFERROR(VLOOKUP(B146,'&gt; Women &lt;'!$D$7:$F$1014,2,0),0)&gt;1,'&gt; Women &lt;'!$D$7:$H$1014,'&gt; Open &lt;'!$D$7:$H$1044),3,0)," ")</f>
        <v>50</v>
      </c>
      <c r="F146" s="110">
        <f>SUM(G146:J146)</f>
        <v>54.6</v>
      </c>
      <c r="G146" s="110" t="str">
        <f>IFERROR(VLOOKUP(Mixed[[#This Row],[SM PO MI Rang]],$P$15:$Q$110,2,0)*G$5,"")</f>
        <v/>
      </c>
      <c r="H146" s="110">
        <f>IFERROR(VLOOKUP(Mixed[[#This Row],[TS SH MI Rang]],$P$15:$Q$110,2,0)*H$5,"")</f>
        <v>54.6</v>
      </c>
      <c r="I146" s="110" t="str">
        <f>IFERROR(VLOOKUP(Mixed[[#This Row],[TS BE MI Rang]],$P$15:$Q$110,2,0)*I$5,"")</f>
        <v/>
      </c>
      <c r="J146" s="109" t="str">
        <f>IFERROR(VLOOKUP(Mixed[[#This Row],[TS BA Mi 07.05.22 Rang]],$P$15:$Q$110,2,0)*J$5,"")</f>
        <v/>
      </c>
      <c r="K146" s="65" t="s">
        <v>434</v>
      </c>
      <c r="L146" s="65">
        <v>24</v>
      </c>
      <c r="M146" s="68" t="s">
        <v>434</v>
      </c>
      <c r="N146" s="213"/>
    </row>
    <row r="147" spans="1:14" x14ac:dyDescent="0.2">
      <c r="A147" s="11">
        <f>RANK(F147,$F$7:$F$172,0)</f>
        <v>140</v>
      </c>
      <c r="B147" s="25" t="s">
        <v>320</v>
      </c>
      <c r="C147" s="29" t="s">
        <v>11</v>
      </c>
      <c r="D14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7" s="27" t="str">
        <f>IFERROR(VLOOKUP(B147,IF(IFERROR(VLOOKUP(B147,'&gt; Women &lt;'!$D$7:$F$1014,2,0),0)&gt;1,'&gt; Women &lt;'!$D$7:$H$1014,'&gt; Open &lt;'!$D$7:$H$1044),3,0)," ")</f>
        <v xml:space="preserve"> </v>
      </c>
      <c r="F147" s="109">
        <f>SUM(G147:J147)</f>
        <v>54.6</v>
      </c>
      <c r="G147" s="109" t="str">
        <f>IFERROR(VLOOKUP(Mixed[[#This Row],[SM PO MI Rang]],$P$15:$Q$110,2,0)*G$5,"")</f>
        <v/>
      </c>
      <c r="H147" s="109">
        <f>IFERROR(VLOOKUP(Mixed[[#This Row],[TS SH MI Rang]],$P$15:$Q$110,2,0)*H$5,"")</f>
        <v>54.6</v>
      </c>
      <c r="I147" s="109" t="str">
        <f>IFERROR(VLOOKUP(Mixed[[#This Row],[TS BE MI Rang]],$P$15:$Q$110,2,0)*I$5,"")</f>
        <v/>
      </c>
      <c r="J147" s="109" t="str">
        <f>IFERROR(VLOOKUP(Mixed[[#This Row],[TS BA Mi 07.05.22 Rang]],$P$15:$Q$110,2,0)*J$5,"")</f>
        <v/>
      </c>
      <c r="K147" s="65" t="s">
        <v>434</v>
      </c>
      <c r="L147" s="65">
        <v>24</v>
      </c>
      <c r="M147" s="68" t="s">
        <v>434</v>
      </c>
      <c r="N147" s="213"/>
    </row>
    <row r="148" spans="1:14" x14ac:dyDescent="0.2">
      <c r="A148" s="11">
        <f>RANK(F148,$F$7:$F$172,0)</f>
        <v>140</v>
      </c>
      <c r="B148" s="25" t="s">
        <v>319</v>
      </c>
      <c r="C148" s="29" t="s">
        <v>11</v>
      </c>
      <c r="D14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8" s="27" t="str">
        <f>IFERROR(VLOOKUP(B148,IF(IFERROR(VLOOKUP(B148,'&gt; Women &lt;'!$D$7:$F$1014,2,0),0)&gt;1,'&gt; Women &lt;'!$D$7:$H$1014,'&gt; Open &lt;'!$D$7:$H$1044),3,0)," ")</f>
        <v xml:space="preserve"> </v>
      </c>
      <c r="F148" s="109">
        <f>SUM(G148:J148)</f>
        <v>54.6</v>
      </c>
      <c r="G148" s="109" t="str">
        <f>IFERROR(VLOOKUP(Mixed[[#This Row],[SM PO MI Rang]],$P$15:$Q$110,2,0)*G$5,"")</f>
        <v/>
      </c>
      <c r="H148" s="109">
        <f>IFERROR(VLOOKUP(Mixed[[#This Row],[TS SH MI Rang]],$P$15:$Q$110,2,0)*H$5,"")</f>
        <v>54.6</v>
      </c>
      <c r="I148" s="109" t="str">
        <f>IFERROR(VLOOKUP(Mixed[[#This Row],[TS BE MI Rang]],$P$15:$Q$110,2,0)*I$5,"")</f>
        <v/>
      </c>
      <c r="J148" s="109" t="str">
        <f>IFERROR(VLOOKUP(Mixed[[#This Row],[TS BA Mi 07.05.22 Rang]],$P$15:$Q$110,2,0)*J$5,"")</f>
        <v/>
      </c>
      <c r="K148" s="65" t="s">
        <v>434</v>
      </c>
      <c r="L148" s="65">
        <v>23</v>
      </c>
      <c r="M148" s="68" t="s">
        <v>434</v>
      </c>
      <c r="N148" s="213"/>
    </row>
    <row r="149" spans="1:14" x14ac:dyDescent="0.2">
      <c r="A149" s="34">
        <f>RANK(F149,$F$7:$F$172,0)</f>
        <v>140</v>
      </c>
      <c r="B149" s="1" t="s">
        <v>318</v>
      </c>
      <c r="C149" s="11" t="s">
        <v>11</v>
      </c>
      <c r="D14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49" s="27" t="str">
        <f>IFERROR(VLOOKUP(B149,IF(IFERROR(VLOOKUP(B149,'&gt; Women &lt;'!$D$7:$F$1014,2,0),0)&gt;1,'&gt; Women &lt;'!$D$7:$H$1014,'&gt; Open &lt;'!$D$7:$H$1044),3,0)," ")</f>
        <v xml:space="preserve"> </v>
      </c>
      <c r="F149" s="110">
        <f>SUM(G149:J149)</f>
        <v>54.6</v>
      </c>
      <c r="G149" s="110" t="str">
        <f>IFERROR(VLOOKUP(Mixed[[#This Row],[SM PO MI Rang]],$P$15:$Q$110,2,0)*G$5,"")</f>
        <v/>
      </c>
      <c r="H149" s="110">
        <f>IFERROR(VLOOKUP(Mixed[[#This Row],[TS SH MI Rang]],$P$15:$Q$110,2,0)*H$5,"")</f>
        <v>54.6</v>
      </c>
      <c r="I149" s="110" t="str">
        <f>IFERROR(VLOOKUP(Mixed[[#This Row],[TS BE MI Rang]],$P$15:$Q$110,2,0)*I$5,"")</f>
        <v/>
      </c>
      <c r="J149" s="109" t="str">
        <f>IFERROR(VLOOKUP(Mixed[[#This Row],[TS BA Mi 07.05.22 Rang]],$P$15:$Q$110,2,0)*J$5,"")</f>
        <v/>
      </c>
      <c r="K149" s="65" t="s">
        <v>434</v>
      </c>
      <c r="L149" s="65">
        <v>23</v>
      </c>
      <c r="M149" s="68" t="s">
        <v>434</v>
      </c>
      <c r="N149" s="213"/>
    </row>
    <row r="150" spans="1:14" x14ac:dyDescent="0.2">
      <c r="A150" s="11">
        <f>RANK(F150,$F$7:$F$172,0)</f>
        <v>140</v>
      </c>
      <c r="B150" s="2" t="s">
        <v>163</v>
      </c>
      <c r="C150" s="1" t="s">
        <v>10</v>
      </c>
      <c r="D15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0" s="27">
        <f>IFERROR(VLOOKUP(B150,IF(IFERROR(VLOOKUP(B150,'&gt; Women &lt;'!$D$7:$F$1014,2,0),0)&gt;1,'&gt; Women &lt;'!$D$7:$H$1014,'&gt; Open &lt;'!$D$7:$H$1044),3,0)," ")</f>
        <v>62.9</v>
      </c>
      <c r="F150" s="109">
        <f>SUM(G150:J150)</f>
        <v>54.6</v>
      </c>
      <c r="G150" s="109" t="str">
        <f>IFERROR(VLOOKUP(Mixed[[#This Row],[SM PO MI Rang]],$P$15:$Q$110,2,0)*G$5,"")</f>
        <v/>
      </c>
      <c r="H150" s="171">
        <f>IFERROR(VLOOKUP(Mixed[[#This Row],[TS SH MI Rang]],$P$15:$Q$110,2,0)*H$5,"")</f>
        <v>54.6</v>
      </c>
      <c r="I150" s="109" t="str">
        <f>IFERROR(VLOOKUP(Mixed[[#This Row],[TS BE MI Rang]],$P$15:$Q$110,2,0)*I$5,"")</f>
        <v/>
      </c>
      <c r="J150" s="109" t="str">
        <f>IFERROR(VLOOKUP(Mixed[[#This Row],[TS BA Mi 07.05.22 Rang]],$P$15:$Q$110,2,0)*J$5,"")</f>
        <v/>
      </c>
      <c r="K150" s="65" t="s">
        <v>434</v>
      </c>
      <c r="L150" s="65">
        <v>22</v>
      </c>
      <c r="M150" s="68" t="s">
        <v>434</v>
      </c>
      <c r="N150" s="213"/>
    </row>
    <row r="151" spans="1:14" x14ac:dyDescent="0.2">
      <c r="A151" s="34">
        <f>RANK(F151,$F$7:$F$172,0)</f>
        <v>140</v>
      </c>
      <c r="B151" s="9" t="s">
        <v>317</v>
      </c>
      <c r="C151" s="9" t="s">
        <v>10</v>
      </c>
      <c r="D15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1" s="27" t="str">
        <f>IFERROR(VLOOKUP(B151,IF(IFERROR(VLOOKUP(B151,'&gt; Women &lt;'!$D$7:$F$1014,2,0),0)&gt;1,'&gt; Women &lt;'!$D$7:$H$1014,'&gt; Open &lt;'!$D$7:$H$1044),3,0)," ")</f>
        <v xml:space="preserve"> </v>
      </c>
      <c r="F151" s="110">
        <f>SUM(G151:J151)</f>
        <v>54.6</v>
      </c>
      <c r="G151" s="110" t="str">
        <f>IFERROR(VLOOKUP(Mixed[[#This Row],[SM PO MI Rang]],$P$15:$Q$110,2,0)*G$5,"")</f>
        <v/>
      </c>
      <c r="H151" s="110">
        <f>IFERROR(VLOOKUP(Mixed[[#This Row],[TS SH MI Rang]],$P$15:$Q$110,2,0)*H$5,"")</f>
        <v>54.6</v>
      </c>
      <c r="I151" s="110" t="str">
        <f>IFERROR(VLOOKUP(Mixed[[#This Row],[TS BE MI Rang]],$P$15:$Q$110,2,0)*I$5,"")</f>
        <v/>
      </c>
      <c r="J151" s="109" t="str">
        <f>IFERROR(VLOOKUP(Mixed[[#This Row],[TS BA Mi 07.05.22 Rang]],$P$15:$Q$110,2,0)*J$5,"")</f>
        <v/>
      </c>
      <c r="K151" s="65" t="s">
        <v>434</v>
      </c>
      <c r="L151" s="65">
        <v>22</v>
      </c>
      <c r="M151" s="68" t="s">
        <v>434</v>
      </c>
      <c r="N151" s="213"/>
    </row>
    <row r="152" spans="1:14" x14ac:dyDescent="0.2">
      <c r="A152" s="11">
        <f>RANK(F152,$F$7:$F$172,0)</f>
        <v>140</v>
      </c>
      <c r="B152" s="6" t="s">
        <v>316</v>
      </c>
      <c r="C152" s="6" t="s">
        <v>11</v>
      </c>
      <c r="D15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2" s="27">
        <f>IFERROR(VLOOKUP(B152,IF(IFERROR(VLOOKUP(B152,'&gt; Women &lt;'!$D$7:$F$1014,2,0),0)&gt;1,'&gt; Women &lt;'!$D$7:$H$1014,'&gt; Open &lt;'!$D$7:$H$1044),3,0)," ")</f>
        <v>281.2</v>
      </c>
      <c r="F152" s="109">
        <f>SUM(G152:J152)</f>
        <v>54.6</v>
      </c>
      <c r="G152" s="110" t="str">
        <f>IFERROR(VLOOKUP(Mixed[[#This Row],[SM PO MI Rang]],$P$15:$Q$110,2,0)*G$5,"")</f>
        <v/>
      </c>
      <c r="H152" s="110">
        <f>IFERROR(VLOOKUP(Mixed[[#This Row],[TS SH MI Rang]],$P$15:$Q$110,2,0)*H$5,"")</f>
        <v>54.6</v>
      </c>
      <c r="I152" s="110" t="str">
        <f>IFERROR(VLOOKUP(Mixed[[#This Row],[TS BE MI Rang]],$P$15:$Q$110,2,0)*I$5,"")</f>
        <v/>
      </c>
      <c r="J152" s="109" t="str">
        <f>IFERROR(VLOOKUP(Mixed[[#This Row],[TS BA Mi 07.05.22 Rang]],$P$15:$Q$110,2,0)*J$5,"")</f>
        <v/>
      </c>
      <c r="K152" s="65" t="s">
        <v>434</v>
      </c>
      <c r="L152" s="65">
        <v>21</v>
      </c>
      <c r="M152" s="68" t="s">
        <v>434</v>
      </c>
      <c r="N152" s="213"/>
    </row>
    <row r="153" spans="1:14" x14ac:dyDescent="0.2">
      <c r="A153" s="34">
        <f>RANK(F153,$F$7:$F$172,0)</f>
        <v>140</v>
      </c>
      <c r="B153" s="25" t="s">
        <v>315</v>
      </c>
      <c r="C153" s="29" t="s">
        <v>11</v>
      </c>
      <c r="D15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3" s="27">
        <f>IFERROR(VLOOKUP(B153,IF(IFERROR(VLOOKUP(B153,'&gt; Women &lt;'!$D$7:$F$1014,2,0),0)&gt;1,'&gt; Women &lt;'!$D$7:$H$1014,'&gt; Open &lt;'!$D$7:$H$1044),3,0)," ")</f>
        <v>58.199999999999996</v>
      </c>
      <c r="F153" s="110">
        <f>SUM(G153:J153)</f>
        <v>54.6</v>
      </c>
      <c r="G153" s="110" t="str">
        <f>IFERROR(VLOOKUP(Mixed[[#This Row],[SM PO MI Rang]],$P$15:$Q$110,2,0)*G$5,"")</f>
        <v/>
      </c>
      <c r="H153" s="110">
        <f>IFERROR(VLOOKUP(Mixed[[#This Row],[TS SH MI Rang]],$P$15:$Q$110,2,0)*H$5,"")</f>
        <v>54.6</v>
      </c>
      <c r="I153" s="110" t="str">
        <f>IFERROR(VLOOKUP(Mixed[[#This Row],[TS BE MI Rang]],$P$15:$Q$110,2,0)*I$5,"")</f>
        <v/>
      </c>
      <c r="J153" s="109" t="str">
        <f>IFERROR(VLOOKUP(Mixed[[#This Row],[TS BA Mi 07.05.22 Rang]],$P$15:$Q$110,2,0)*J$5,"")</f>
        <v/>
      </c>
      <c r="K153" s="65" t="s">
        <v>434</v>
      </c>
      <c r="L153" s="65">
        <v>21</v>
      </c>
      <c r="M153" s="68" t="s">
        <v>434</v>
      </c>
      <c r="N153" s="213"/>
    </row>
    <row r="154" spans="1:14" x14ac:dyDescent="0.2">
      <c r="A154" s="11">
        <f>RANK(F154,$F$7:$F$172,0)</f>
        <v>140</v>
      </c>
      <c r="B154" s="25" t="s">
        <v>312</v>
      </c>
      <c r="C154" s="29" t="s">
        <v>18</v>
      </c>
      <c r="D15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4" s="27" t="str">
        <f>IFERROR(VLOOKUP(B154,IF(IFERROR(VLOOKUP(B154,'&gt; Women &lt;'!$D$7:$F$1014,2,0),0)&gt;1,'&gt; Women &lt;'!$D$7:$H$1014,'&gt; Open &lt;'!$D$7:$H$1044),3,0)," ")</f>
        <v xml:space="preserve"> </v>
      </c>
      <c r="F154" s="109">
        <f>SUM(G154:J154)</f>
        <v>54.6</v>
      </c>
      <c r="G154" s="109" t="str">
        <f>IFERROR(VLOOKUP(Mixed[[#This Row],[SM PO MI Rang]],$P$15:$Q$110,2,0)*G$5,"")</f>
        <v/>
      </c>
      <c r="H154" s="109">
        <f>IFERROR(VLOOKUP(Mixed[[#This Row],[TS SH MI Rang]],$P$15:$Q$110,2,0)*H$5,"")</f>
        <v>54.6</v>
      </c>
      <c r="I154" s="109" t="str">
        <f>IFERROR(VLOOKUP(Mixed[[#This Row],[TS BE MI Rang]],$P$15:$Q$110,2,0)*I$5,"")</f>
        <v/>
      </c>
      <c r="J154" s="109" t="str">
        <f>IFERROR(VLOOKUP(Mixed[[#This Row],[TS BA Mi 07.05.22 Rang]],$P$15:$Q$110,2,0)*J$5,"")</f>
        <v/>
      </c>
      <c r="K154" s="65" t="s">
        <v>434</v>
      </c>
      <c r="L154" s="65">
        <v>17</v>
      </c>
      <c r="M154" s="68" t="s">
        <v>434</v>
      </c>
      <c r="N154" s="213"/>
    </row>
    <row r="155" spans="1:14" x14ac:dyDescent="0.2">
      <c r="A155" s="34">
        <f>RANK(F155,$F$7:$F$172,0)</f>
        <v>140</v>
      </c>
      <c r="B155" s="3" t="s">
        <v>311</v>
      </c>
      <c r="C155" s="9" t="s">
        <v>18</v>
      </c>
      <c r="D15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5" s="27" t="str">
        <f>IFERROR(VLOOKUP(B155,IF(IFERROR(VLOOKUP(B155,'&gt; Women &lt;'!$D$7:$F$1014,2,0),0)&gt;1,'&gt; Women &lt;'!$D$7:$H$1014,'&gt; Open &lt;'!$D$7:$H$1044),3,0)," ")</f>
        <v xml:space="preserve"> </v>
      </c>
      <c r="F155" s="110">
        <f>SUM(G155:J155)</f>
        <v>54.6</v>
      </c>
      <c r="G155" s="110" t="str">
        <f>IFERROR(VLOOKUP(Mixed[[#This Row],[SM PO MI Rang]],$P$15:$Q$110,2,0)*G$5,"")</f>
        <v/>
      </c>
      <c r="H155" s="110">
        <f>IFERROR(VLOOKUP(Mixed[[#This Row],[TS SH MI Rang]],$P$15:$Q$110,2,0)*H$5,"")</f>
        <v>54.6</v>
      </c>
      <c r="I155" s="110" t="str">
        <f>IFERROR(VLOOKUP(Mixed[[#This Row],[TS BE MI Rang]],$P$15:$Q$110,2,0)*I$5,"")</f>
        <v/>
      </c>
      <c r="J155" s="109" t="str">
        <f>IFERROR(VLOOKUP(Mixed[[#This Row],[TS BA Mi 07.05.22 Rang]],$P$15:$Q$110,2,0)*J$5,"")</f>
        <v/>
      </c>
      <c r="K155" s="65" t="s">
        <v>434</v>
      </c>
      <c r="L155" s="65">
        <v>17</v>
      </c>
      <c r="M155" s="68" t="s">
        <v>434</v>
      </c>
      <c r="N155" s="213"/>
    </row>
    <row r="156" spans="1:14" x14ac:dyDescent="0.2">
      <c r="A156" s="11">
        <f>RANK(F156,$F$7:$F$172,0)</f>
        <v>150</v>
      </c>
      <c r="B156" s="25" t="s">
        <v>290</v>
      </c>
      <c r="C156" s="29" t="s">
        <v>11</v>
      </c>
      <c r="D15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6" s="27" t="str">
        <f>IFERROR(VLOOKUP(B156,IF(IFERROR(VLOOKUP(B156,'&gt; Women &lt;'!$D$7:$F$1014,2,0),0)&gt;1,'&gt; Women &lt;'!$D$7:$H$1014,'&gt; Open &lt;'!$D$7:$H$1044),3,0)," ")</f>
        <v xml:space="preserve"> </v>
      </c>
      <c r="F156" s="109">
        <f>SUM(G156:J156)</f>
        <v>39.6</v>
      </c>
      <c r="G156" s="109">
        <f>IFERROR(VLOOKUP(Mixed[[#This Row],[SM PO MI Rang]],$P$15:$Q$110,2,0)*G$5,"")</f>
        <v>39.6</v>
      </c>
      <c r="H156" s="109" t="str">
        <f>IFERROR(VLOOKUP(Mixed[[#This Row],[TS SH MI Rang]],$P$15:$Q$110,2,0)*H$5,"")</f>
        <v/>
      </c>
      <c r="I156" s="109" t="str">
        <f>IFERROR(VLOOKUP(Mixed[[#This Row],[TS BE MI Rang]],$P$15:$Q$110,2,0)*I$5,"")</f>
        <v/>
      </c>
      <c r="J156" s="109" t="str">
        <f>IFERROR(VLOOKUP(Mixed[[#This Row],[TS BA Mi 07.05.22 Rang]],$P$15:$Q$110,2,0)*J$5,"")</f>
        <v/>
      </c>
      <c r="K156" s="65">
        <v>38</v>
      </c>
      <c r="L156" s="65" t="s">
        <v>434</v>
      </c>
      <c r="M156" s="68" t="s">
        <v>434</v>
      </c>
      <c r="N156" s="213"/>
    </row>
    <row r="157" spans="1:14" x14ac:dyDescent="0.2">
      <c r="A157" s="34">
        <f>RANK(F157,$F$7:$F$172,0)</f>
        <v>150</v>
      </c>
      <c r="B157" s="26" t="s">
        <v>291</v>
      </c>
      <c r="C157" s="4" t="s">
        <v>11</v>
      </c>
      <c r="D15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7" s="27" t="str">
        <f>IFERROR(VLOOKUP(B157,IF(IFERROR(VLOOKUP(B157,'&gt; Women &lt;'!$D$7:$F$1014,2,0),0)&gt;1,'&gt; Women &lt;'!$D$7:$H$1014,'&gt; Open &lt;'!$D$7:$H$1044),3,0)," ")</f>
        <v xml:space="preserve"> </v>
      </c>
      <c r="F157" s="110">
        <f>SUM(G157:J157)</f>
        <v>39.6</v>
      </c>
      <c r="G157" s="110">
        <f>IFERROR(VLOOKUP(Mixed[[#This Row],[SM PO MI Rang]],$P$15:$Q$110,2,0)*G$5,"")</f>
        <v>39.6</v>
      </c>
      <c r="H157" s="110" t="str">
        <f>IFERROR(VLOOKUP(Mixed[[#This Row],[TS SH MI Rang]],$P$15:$Q$110,2,0)*H$5,"")</f>
        <v/>
      </c>
      <c r="I157" s="110" t="str">
        <f>IFERROR(VLOOKUP(Mixed[[#This Row],[TS BE MI Rang]],$P$15:$Q$110,2,0)*I$5,"")</f>
        <v/>
      </c>
      <c r="J157" s="109" t="str">
        <f>IFERROR(VLOOKUP(Mixed[[#This Row],[TS BA Mi 07.05.22 Rang]],$P$15:$Q$110,2,0)*J$5,"")</f>
        <v/>
      </c>
      <c r="K157" s="65">
        <v>38</v>
      </c>
      <c r="L157" s="65" t="s">
        <v>434</v>
      </c>
      <c r="M157" s="68" t="s">
        <v>434</v>
      </c>
      <c r="N157" s="213"/>
    </row>
    <row r="158" spans="1:14" x14ac:dyDescent="0.2">
      <c r="A158" s="34">
        <f>RANK(F158,$F$7:$F$172,0)</f>
        <v>150</v>
      </c>
      <c r="B158" s="31" t="s">
        <v>99</v>
      </c>
      <c r="C158" s="9" t="s">
        <v>8</v>
      </c>
      <c r="D15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8" s="27">
        <f>IFERROR(VLOOKUP(B158,IF(IFERROR(VLOOKUP(B158,'&gt; Women &lt;'!$D$7:$F$1014,2,0),0)&gt;1,'&gt; Women &lt;'!$D$7:$H$1014,'&gt; Open &lt;'!$D$7:$H$1044),3,0)," ")</f>
        <v>0</v>
      </c>
      <c r="F158" s="110">
        <f>SUM(G158:J158)</f>
        <v>39.6</v>
      </c>
      <c r="G158" s="110">
        <f>IFERROR(VLOOKUP(Mixed[[#This Row],[SM PO MI Rang]],$P$15:$Q$110,2,0)*G$5,"")</f>
        <v>39.6</v>
      </c>
      <c r="H158" s="110" t="str">
        <f>IFERROR(VLOOKUP(Mixed[[#This Row],[TS SH MI Rang]],$P$15:$Q$110,2,0)*H$5,"")</f>
        <v/>
      </c>
      <c r="I158" s="110" t="str">
        <f>IFERROR(VLOOKUP(Mixed[[#This Row],[TS BE MI Rang]],$P$15:$Q$110,2,0)*I$5,"")</f>
        <v/>
      </c>
      <c r="J158" s="109" t="str">
        <f>IFERROR(VLOOKUP(Mixed[[#This Row],[TS BA Mi 07.05.22 Rang]],$P$15:$Q$110,2,0)*J$5,"")</f>
        <v/>
      </c>
      <c r="K158" s="65">
        <v>37</v>
      </c>
      <c r="L158" s="65" t="s">
        <v>434</v>
      </c>
      <c r="M158" s="68" t="s">
        <v>434</v>
      </c>
      <c r="N158" s="213"/>
    </row>
    <row r="159" spans="1:14" x14ac:dyDescent="0.2">
      <c r="A159" s="11">
        <f>RANK(F159,$F$7:$F$172,0)</f>
        <v>150</v>
      </c>
      <c r="B159" s="25" t="s">
        <v>230</v>
      </c>
      <c r="C159" t="s">
        <v>11</v>
      </c>
      <c r="D15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59" s="27">
        <f>IFERROR(VLOOKUP(B159,IF(IFERROR(VLOOKUP(B159,'&gt; Women &lt;'!$D$7:$F$1014,2,0),0)&gt;1,'&gt; Women &lt;'!$D$7:$H$1014,'&gt; Open &lt;'!$D$7:$H$1044),3,0)," ")</f>
        <v>0</v>
      </c>
      <c r="F159" s="109">
        <f>SUM(G159:J159)</f>
        <v>39.6</v>
      </c>
      <c r="G159" s="109">
        <f>IFERROR(VLOOKUP(Mixed[[#This Row],[SM PO MI Rang]],$P$15:$Q$110,2,0)*G$5,"")</f>
        <v>39.6</v>
      </c>
      <c r="H159" s="109" t="str">
        <f>IFERROR(VLOOKUP(Mixed[[#This Row],[TS SH MI Rang]],$P$15:$Q$110,2,0)*H$5,"")</f>
        <v/>
      </c>
      <c r="I159" s="109" t="str">
        <f>IFERROR(VLOOKUP(Mixed[[#This Row],[TS BE MI Rang]],$P$15:$Q$110,2,0)*I$5,"")</f>
        <v/>
      </c>
      <c r="J159" s="109" t="str">
        <f>IFERROR(VLOOKUP(Mixed[[#This Row],[TS BA Mi 07.05.22 Rang]],$P$15:$Q$110,2,0)*J$5,"")</f>
        <v/>
      </c>
      <c r="K159" s="211">
        <v>37</v>
      </c>
      <c r="L159" s="211" t="s">
        <v>434</v>
      </c>
      <c r="M159" s="211" t="s">
        <v>434</v>
      </c>
      <c r="N159" s="213"/>
    </row>
    <row r="160" spans="1:14" x14ac:dyDescent="0.2">
      <c r="A160" s="34">
        <f>RANK(F160,$F$7:$F$172,0)</f>
        <v>150</v>
      </c>
      <c r="B160" s="25" t="s">
        <v>268</v>
      </c>
      <c r="C160" t="s">
        <v>11</v>
      </c>
      <c r="D16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0" s="27">
        <f>IFERROR(VLOOKUP(B160,IF(IFERROR(VLOOKUP(B160,'&gt; Women &lt;'!$D$7:$F$1014,2,0),0)&gt;1,'&gt; Women &lt;'!$D$7:$H$1014,'&gt; Open &lt;'!$D$7:$H$1044),3,0)," ")</f>
        <v>0</v>
      </c>
      <c r="F160" s="110">
        <f>SUM(G160:J160)</f>
        <v>39.6</v>
      </c>
      <c r="G160" s="110">
        <f>IFERROR(VLOOKUP(Mixed[[#This Row],[SM PO MI Rang]],$P$15:$Q$110,2,0)*G$5,"")</f>
        <v>39.6</v>
      </c>
      <c r="H160" s="110" t="str">
        <f>IFERROR(VLOOKUP(Mixed[[#This Row],[TS SH MI Rang]],$P$15:$Q$110,2,0)*H$5,"")</f>
        <v/>
      </c>
      <c r="I160" s="110" t="str">
        <f>IFERROR(VLOOKUP(Mixed[[#This Row],[TS BE MI Rang]],$P$15:$Q$110,2,0)*I$5,"")</f>
        <v/>
      </c>
      <c r="J160" s="109" t="str">
        <f>IFERROR(VLOOKUP(Mixed[[#This Row],[TS BA Mi 07.05.22 Rang]],$P$15:$Q$110,2,0)*J$5,"")</f>
        <v/>
      </c>
      <c r="K160" s="211">
        <v>36</v>
      </c>
      <c r="L160" s="211" t="s">
        <v>434</v>
      </c>
      <c r="M160" s="211" t="s">
        <v>434</v>
      </c>
      <c r="N160" s="213"/>
    </row>
    <row r="161" spans="1:14" x14ac:dyDescent="0.2">
      <c r="A161" s="11">
        <f>RANK(F161,$F$7:$F$172,0)</f>
        <v>150</v>
      </c>
      <c r="B161" s="9" t="s">
        <v>276</v>
      </c>
      <c r="C161" s="9" t="s">
        <v>0</v>
      </c>
      <c r="D16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1" s="27">
        <f>IFERROR(VLOOKUP(B161,IF(IFERROR(VLOOKUP(B161,'&gt; Women &lt;'!$D$7:$F$1014,2,0),0)&gt;1,'&gt; Women &lt;'!$D$7:$H$1014,'&gt; Open &lt;'!$D$7:$H$1044),3,0)," ")</f>
        <v>0</v>
      </c>
      <c r="F161" s="109">
        <f>SUM(G161:J161)</f>
        <v>39.6</v>
      </c>
      <c r="G161" s="109">
        <f>IFERROR(VLOOKUP(Mixed[[#This Row],[SM PO MI Rang]],$P$15:$Q$110,2,0)*G$5,"")</f>
        <v>39.6</v>
      </c>
      <c r="H161" s="109" t="str">
        <f>IFERROR(VLOOKUP(Mixed[[#This Row],[TS SH MI Rang]],$P$15:$Q$110,2,0)*H$5,"")</f>
        <v/>
      </c>
      <c r="I161" s="109" t="str">
        <f>IFERROR(VLOOKUP(Mixed[[#This Row],[TS BE MI Rang]],$P$15:$Q$110,2,0)*I$5,"")</f>
        <v/>
      </c>
      <c r="J161" s="109" t="str">
        <f>IFERROR(VLOOKUP(Mixed[[#This Row],[TS BA Mi 07.05.22 Rang]],$P$15:$Q$110,2,0)*J$5,"")</f>
        <v/>
      </c>
      <c r="K161" s="211">
        <v>35</v>
      </c>
      <c r="L161" s="211" t="s">
        <v>434</v>
      </c>
      <c r="M161" s="211" t="s">
        <v>434</v>
      </c>
      <c r="N161" s="213"/>
    </row>
    <row r="162" spans="1:14" x14ac:dyDescent="0.2">
      <c r="A162" s="34">
        <f>RANK(F162,$F$7:$F$172,0)</f>
        <v>150</v>
      </c>
      <c r="B162" s="27" t="s">
        <v>292</v>
      </c>
      <c r="C162" s="9" t="s">
        <v>11</v>
      </c>
      <c r="D16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2" s="27">
        <f>IFERROR(VLOOKUP(B162,IF(IFERROR(VLOOKUP(B162,'&gt; Women &lt;'!$D$7:$F$1014,2,0),0)&gt;1,'&gt; Women &lt;'!$D$7:$H$1014,'&gt; Open &lt;'!$D$7:$H$1044),3,0)," ")</f>
        <v>0</v>
      </c>
      <c r="F162" s="110">
        <f>SUM(G162:J162)</f>
        <v>39.6</v>
      </c>
      <c r="G162" s="110">
        <f>IFERROR(VLOOKUP(Mixed[[#This Row],[SM PO MI Rang]],$P$15:$Q$110,2,0)*G$5,"")</f>
        <v>39.6</v>
      </c>
      <c r="H162" s="110" t="str">
        <f>IFERROR(VLOOKUP(Mixed[[#This Row],[TS SH MI Rang]],$P$15:$Q$110,2,0)*H$5,"")</f>
        <v/>
      </c>
      <c r="I162" s="110" t="str">
        <f>IFERROR(VLOOKUP(Mixed[[#This Row],[TS BE MI Rang]],$P$15:$Q$110,2,0)*I$5,"")</f>
        <v/>
      </c>
      <c r="J162" s="109" t="str">
        <f>IFERROR(VLOOKUP(Mixed[[#This Row],[TS BA Mi 07.05.22 Rang]],$P$15:$Q$110,2,0)*J$5,"")</f>
        <v/>
      </c>
      <c r="K162" s="211">
        <v>34</v>
      </c>
      <c r="L162" s="211" t="s">
        <v>434</v>
      </c>
      <c r="M162" s="211" t="s">
        <v>434</v>
      </c>
      <c r="N162" s="213"/>
    </row>
    <row r="163" spans="1:14" x14ac:dyDescent="0.2">
      <c r="A163" s="11">
        <f>RANK(F163,$F$7:$F$172,0)</f>
        <v>150</v>
      </c>
      <c r="B163" s="25" t="s">
        <v>227</v>
      </c>
      <c r="C163" t="s">
        <v>11</v>
      </c>
      <c r="D163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3" s="27">
        <f>IFERROR(VLOOKUP(B163,IF(IFERROR(VLOOKUP(B163,'&gt; Women &lt;'!$D$7:$F$1014,2,0),0)&gt;1,'&gt; Women &lt;'!$D$7:$H$1014,'&gt; Open &lt;'!$D$7:$H$1044),3,0)," ")</f>
        <v>0</v>
      </c>
      <c r="F163" s="109">
        <f>SUM(G163:J163)</f>
        <v>39.6</v>
      </c>
      <c r="G163" s="109">
        <f>IFERROR(VLOOKUP(Mixed[[#This Row],[SM PO MI Rang]],$P$15:$Q$110,2,0)*G$5,"")</f>
        <v>39.6</v>
      </c>
      <c r="H163" s="109" t="str">
        <f>IFERROR(VLOOKUP(Mixed[[#This Row],[TS SH MI Rang]],$P$15:$Q$110,2,0)*H$5,"")</f>
        <v/>
      </c>
      <c r="I163" s="109" t="str">
        <f>IFERROR(VLOOKUP(Mixed[[#This Row],[TS BE MI Rang]],$P$15:$Q$110,2,0)*I$5,"")</f>
        <v/>
      </c>
      <c r="J163" s="109" t="str">
        <f>IFERROR(VLOOKUP(Mixed[[#This Row],[TS BA Mi 07.05.22 Rang]],$P$15:$Q$110,2,0)*J$5,"")</f>
        <v/>
      </c>
      <c r="K163" s="211">
        <v>34</v>
      </c>
      <c r="L163" s="211" t="s">
        <v>434</v>
      </c>
      <c r="M163" s="211" t="s">
        <v>434</v>
      </c>
      <c r="N163" s="213"/>
    </row>
    <row r="164" spans="1:14" x14ac:dyDescent="0.2">
      <c r="A164" s="11">
        <f>RANK(F164,$F$7:$F$172,0)</f>
        <v>150</v>
      </c>
      <c r="B164" s="25" t="s">
        <v>288</v>
      </c>
      <c r="C164" s="29" t="s">
        <v>11</v>
      </c>
      <c r="D164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4" s="27" t="str">
        <f>IFERROR(VLOOKUP(B164,IF(IFERROR(VLOOKUP(B164,'&gt; Women &lt;'!$D$7:$F$1014,2,0),0)&gt;1,'&gt; Women &lt;'!$D$7:$H$1014,'&gt; Open &lt;'!$D$7:$H$1044),3,0)," ")</f>
        <v xml:space="preserve"> </v>
      </c>
      <c r="F164" s="109">
        <f>SUM(G164:J164)</f>
        <v>39.6</v>
      </c>
      <c r="G164" s="109">
        <f>IFERROR(VLOOKUP(Mixed[[#This Row],[SM PO MI Rang]],$P$15:$Q$110,2,0)*G$5,"")</f>
        <v>39.6</v>
      </c>
      <c r="H164" s="109" t="str">
        <f>IFERROR(VLOOKUP(Mixed[[#This Row],[TS SH MI Rang]],$P$15:$Q$110,2,0)*H$5,"")</f>
        <v/>
      </c>
      <c r="I164" s="109" t="str">
        <f>IFERROR(VLOOKUP(Mixed[[#This Row],[TS BE MI Rang]],$P$15:$Q$110,2,0)*I$5,"")</f>
        <v/>
      </c>
      <c r="J164" s="109" t="str">
        <f>IFERROR(VLOOKUP(Mixed[[#This Row],[TS BA Mi 07.05.22 Rang]],$P$15:$Q$110,2,0)*J$5,"")</f>
        <v/>
      </c>
      <c r="K164" s="211">
        <v>33</v>
      </c>
      <c r="L164" s="211" t="s">
        <v>434</v>
      </c>
      <c r="M164" s="211" t="s">
        <v>434</v>
      </c>
      <c r="N164" s="213"/>
    </row>
    <row r="165" spans="1:14" x14ac:dyDescent="0.2">
      <c r="A165" s="34">
        <f>RANK(F165,$F$7:$F$172,0)</f>
        <v>150</v>
      </c>
      <c r="B165" s="1" t="s">
        <v>289</v>
      </c>
      <c r="C165" s="4" t="s">
        <v>11</v>
      </c>
      <c r="D165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5" s="27" t="str">
        <f>IFERROR(VLOOKUP(B165,IF(IFERROR(VLOOKUP(B165,'&gt; Women &lt;'!$D$7:$F$1014,2,0),0)&gt;1,'&gt; Women &lt;'!$D$7:$H$1014,'&gt; Open &lt;'!$D$7:$H$1044),3,0)," ")</f>
        <v xml:space="preserve"> </v>
      </c>
      <c r="F165" s="110">
        <f>SUM(G165:J165)</f>
        <v>39.6</v>
      </c>
      <c r="G165" s="110">
        <f>IFERROR(VLOOKUP(Mixed[[#This Row],[SM PO MI Rang]],$P$15:$Q$110,2,0)*G$5,"")</f>
        <v>39.6</v>
      </c>
      <c r="H165" s="110" t="str">
        <f>IFERROR(VLOOKUP(Mixed[[#This Row],[TS SH MI Rang]],$P$15:$Q$110,2,0)*H$5,"")</f>
        <v/>
      </c>
      <c r="I165" s="110" t="str">
        <f>IFERROR(VLOOKUP(Mixed[[#This Row],[TS BE MI Rang]],$P$15:$Q$110,2,0)*I$5,"")</f>
        <v/>
      </c>
      <c r="J165" s="109" t="str">
        <f>IFERROR(VLOOKUP(Mixed[[#This Row],[TS BA Mi 07.05.22 Rang]],$P$15:$Q$110,2,0)*J$5,"")</f>
        <v/>
      </c>
      <c r="K165" s="211">
        <v>33</v>
      </c>
      <c r="L165" s="211" t="s">
        <v>434</v>
      </c>
      <c r="M165" s="211" t="s">
        <v>434</v>
      </c>
      <c r="N165" s="213"/>
    </row>
    <row r="166" spans="1:14" x14ac:dyDescent="0.2">
      <c r="A166" s="34">
        <f>RANK(F166,$F$7:$F$172,0)</f>
        <v>160</v>
      </c>
      <c r="B166" s="1" t="s">
        <v>367</v>
      </c>
      <c r="C166" s="1" t="s">
        <v>11</v>
      </c>
      <c r="D166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6" s="27" t="str">
        <f>IFERROR(VLOOKUP(B166,IF(IFERROR(VLOOKUP(B166,'&gt; Women &lt;'!$D$7:$F$1014,2,0),0)&gt;1,'&gt; Women &lt;'!$D$7:$H$1014,'&gt; Open &lt;'!$D$7:$H$1044),3,0)," ")</f>
        <v xml:space="preserve"> </v>
      </c>
      <c r="F166" s="110">
        <f>SUM(G166:J166)</f>
        <v>38</v>
      </c>
      <c r="G166" s="110" t="str">
        <f>IFERROR(VLOOKUP(Mixed[[#This Row],[SM PO MI Rang]],$P$15:$Q$110,2,0)*G$5,"")</f>
        <v/>
      </c>
      <c r="H166" s="110" t="str">
        <f>IFERROR(VLOOKUP(Mixed[[#This Row],[TS SH MI Rang]],$P$15:$Q$110,2,0)*H$5,"")</f>
        <v/>
      </c>
      <c r="I166" s="110">
        <f>IFERROR(VLOOKUP(Mixed[[#This Row],[TS BE MI Rang]],$P$15:$Q$110,2,0)*I$5,"")</f>
        <v>38</v>
      </c>
      <c r="J166" s="109" t="str">
        <f>IFERROR(VLOOKUP(Mixed[[#This Row],[TS BA Mi 07.05.22 Rang]],$P$15:$Q$110,2,0)*J$5,"")</f>
        <v/>
      </c>
      <c r="K166" s="211" t="s">
        <v>434</v>
      </c>
      <c r="L166" s="211" t="s">
        <v>434</v>
      </c>
      <c r="M166" s="211">
        <v>36</v>
      </c>
      <c r="N166" s="213"/>
    </row>
    <row r="167" spans="1:14" x14ac:dyDescent="0.2">
      <c r="A167" s="11">
        <f>RANK(F167,$F$7:$F$172,0)</f>
        <v>160</v>
      </c>
      <c r="B167" s="9" t="s">
        <v>368</v>
      </c>
      <c r="C167" s="9" t="s">
        <v>11</v>
      </c>
      <c r="D167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7" s="27" t="str">
        <f>IFERROR(VLOOKUP(B167,IF(IFERROR(VLOOKUP(B167,'&gt; Women &lt;'!$D$7:$F$1014,2,0),0)&gt;1,'&gt; Women &lt;'!$D$7:$H$1014,'&gt; Open &lt;'!$D$7:$H$1044),3,0)," ")</f>
        <v xml:space="preserve"> </v>
      </c>
      <c r="F167" s="109">
        <f>SUM(G167:J167)</f>
        <v>38</v>
      </c>
      <c r="G167" s="109" t="str">
        <f>IFERROR(VLOOKUP(Mixed[[#This Row],[SM PO MI Rang]],$P$15:$Q$110,2,0)*G$5,"")</f>
        <v/>
      </c>
      <c r="H167" s="109" t="str">
        <f>IFERROR(VLOOKUP(Mixed[[#This Row],[TS SH MI Rang]],$P$15:$Q$110,2,0)*H$5,"")</f>
        <v/>
      </c>
      <c r="I167" s="109">
        <f>IFERROR(VLOOKUP(Mixed[[#This Row],[TS BE MI Rang]],$P$15:$Q$110,2,0)*I$5,"")</f>
        <v>38</v>
      </c>
      <c r="J167" s="109" t="str">
        <f>IFERROR(VLOOKUP(Mixed[[#This Row],[TS BA Mi 07.05.22 Rang]],$P$15:$Q$110,2,0)*J$5,"")</f>
        <v/>
      </c>
      <c r="K167" s="211" t="s">
        <v>434</v>
      </c>
      <c r="L167" s="211" t="s">
        <v>434</v>
      </c>
      <c r="M167" s="212">
        <v>35</v>
      </c>
      <c r="N167" s="214"/>
    </row>
    <row r="168" spans="1:14" x14ac:dyDescent="0.2">
      <c r="A168" s="34">
        <f>RANK(F168,$F$7:$F$172,0)</f>
        <v>160</v>
      </c>
      <c r="B168" s="1" t="s">
        <v>369</v>
      </c>
      <c r="C168" s="1" t="s">
        <v>11</v>
      </c>
      <c r="D168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8" s="27" t="str">
        <f>IFERROR(VLOOKUP(B168,IF(IFERROR(VLOOKUP(B168,'&gt; Women &lt;'!$D$7:$F$1014,2,0),0)&gt;1,'&gt; Women &lt;'!$D$7:$H$1014,'&gt; Open &lt;'!$D$7:$H$1044),3,0)," ")</f>
        <v xml:space="preserve"> </v>
      </c>
      <c r="F168" s="110">
        <f>SUM(G168:J168)</f>
        <v>38</v>
      </c>
      <c r="G168" s="110" t="str">
        <f>IFERROR(VLOOKUP(Mixed[[#This Row],[SM PO MI Rang]],$P$15:$Q$110,2,0)*G$5,"")</f>
        <v/>
      </c>
      <c r="H168" s="110" t="str">
        <f>IFERROR(VLOOKUP(Mixed[[#This Row],[TS SH MI Rang]],$P$15:$Q$110,2,0)*H$5,"")</f>
        <v/>
      </c>
      <c r="I168" s="110">
        <f>IFERROR(VLOOKUP(Mixed[[#This Row],[TS BE MI Rang]],$P$15:$Q$110,2,0)*I$5,"")</f>
        <v>38</v>
      </c>
      <c r="J168" s="109" t="str">
        <f>IFERROR(VLOOKUP(Mixed[[#This Row],[TS BA Mi 07.05.22 Rang]],$P$15:$Q$110,2,0)*J$5,"")</f>
        <v/>
      </c>
      <c r="K168" s="211" t="s">
        <v>434</v>
      </c>
      <c r="L168" s="211" t="s">
        <v>434</v>
      </c>
      <c r="M168" s="211">
        <v>35</v>
      </c>
      <c r="N168" s="213"/>
    </row>
    <row r="169" spans="1:14" x14ac:dyDescent="0.2">
      <c r="A169" s="11">
        <f>RANK(F169,$F$7:$F$172,0)</f>
        <v>160</v>
      </c>
      <c r="B169" s="9" t="s">
        <v>365</v>
      </c>
      <c r="C169" s="11" t="s">
        <v>0</v>
      </c>
      <c r="D169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69" s="27">
        <f>IFERROR(VLOOKUP(B169,IF(IFERROR(VLOOKUP(B169,'&gt; Women &lt;'!$D$7:$F$1014,2,0),0)&gt;1,'&gt; Women &lt;'!$D$7:$H$1014,'&gt; Open &lt;'!$D$7:$H$1044),3,0)," ")</f>
        <v>0</v>
      </c>
      <c r="F169" s="109">
        <f>SUM(G169:J169)</f>
        <v>38</v>
      </c>
      <c r="G169" s="109" t="str">
        <f>IFERROR(VLOOKUP(Mixed[[#This Row],[SM PO MI Rang]],$P$15:$Q$110,2,0)*G$5,"")</f>
        <v/>
      </c>
      <c r="H169" s="109" t="str">
        <f>IFERROR(VLOOKUP(Mixed[[#This Row],[TS SH MI Rang]],$P$15:$Q$110,2,0)*H$5,"")</f>
        <v/>
      </c>
      <c r="I169" s="109">
        <f>IFERROR(VLOOKUP(Mixed[[#This Row],[TS BE MI Rang]],$P$15:$Q$110,2,0)*I$5,"")</f>
        <v>38</v>
      </c>
      <c r="J169" s="109" t="str">
        <f>IFERROR(VLOOKUP(Mixed[[#This Row],[TS BA Mi 07.05.22 Rang]],$P$15:$Q$110,2,0)*J$5,"")</f>
        <v/>
      </c>
      <c r="K169" s="211" t="s">
        <v>434</v>
      </c>
      <c r="L169" s="211" t="s">
        <v>434</v>
      </c>
      <c r="M169" s="211">
        <v>34</v>
      </c>
      <c r="N169" s="213"/>
    </row>
    <row r="170" spans="1:14" x14ac:dyDescent="0.2">
      <c r="A170" s="34">
        <f>RANK(F170,$F$7:$F$172,0)</f>
        <v>160</v>
      </c>
      <c r="B170" s="1" t="s">
        <v>366</v>
      </c>
      <c r="C170" s="1" t="s">
        <v>11</v>
      </c>
      <c r="D170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70" s="27" t="str">
        <f>IFERROR(VLOOKUP(B170,IF(IFERROR(VLOOKUP(B170,'&gt; Women &lt;'!$D$7:$F$1014,2,0),0)&gt;1,'&gt; Women &lt;'!$D$7:$H$1014,'&gt; Open &lt;'!$D$7:$H$1044),3,0)," ")</f>
        <v xml:space="preserve"> </v>
      </c>
      <c r="F170" s="110">
        <f>SUM(G170:J170)</f>
        <v>38</v>
      </c>
      <c r="G170" s="110" t="str">
        <f>IFERROR(VLOOKUP(Mixed[[#This Row],[SM PO MI Rang]],$P$15:$Q$110,2,0)*G$5,"")</f>
        <v/>
      </c>
      <c r="H170" s="110" t="str">
        <f>IFERROR(VLOOKUP(Mixed[[#This Row],[TS SH MI Rang]],$P$15:$Q$110,2,0)*H$5,"")</f>
        <v/>
      </c>
      <c r="I170" s="110">
        <f>IFERROR(VLOOKUP(Mixed[[#This Row],[TS BE MI Rang]],$P$15:$Q$110,2,0)*I$5,"")</f>
        <v>38</v>
      </c>
      <c r="J170" s="109" t="str">
        <f>IFERROR(VLOOKUP(Mixed[[#This Row],[TS BA Mi 07.05.22 Rang]],$P$15:$Q$110,2,0)*J$5,"")</f>
        <v/>
      </c>
      <c r="K170" s="211" t="s">
        <v>434</v>
      </c>
      <c r="L170" s="211" t="s">
        <v>434</v>
      </c>
      <c r="M170" s="211">
        <v>34</v>
      </c>
      <c r="N170" s="213"/>
    </row>
    <row r="171" spans="1:14" x14ac:dyDescent="0.2">
      <c r="A171" s="11">
        <f>RANK(F171,$F$7:$F$172,0)</f>
        <v>160</v>
      </c>
      <c r="B171" s="9" t="s">
        <v>363</v>
      </c>
      <c r="C171" s="9" t="s">
        <v>11</v>
      </c>
      <c r="D171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71" s="27" t="str">
        <f>IFERROR(VLOOKUP(B171,IF(IFERROR(VLOOKUP(B171,'&gt; Women &lt;'!$D$7:$F$1014,2,0),0)&gt;1,'&gt; Women &lt;'!$D$7:$H$1014,'&gt; Open &lt;'!$D$7:$H$1044),3,0)," ")</f>
        <v xml:space="preserve"> </v>
      </c>
      <c r="F171" s="109">
        <f>SUM(G171:J171)</f>
        <v>38</v>
      </c>
      <c r="G171" s="109" t="str">
        <f>IFERROR(VLOOKUP(Mixed[[#This Row],[SM PO MI Rang]],$P$15:$Q$110,2,0)*G$5,"")</f>
        <v/>
      </c>
      <c r="H171" s="109" t="str">
        <f>IFERROR(VLOOKUP(Mixed[[#This Row],[TS SH MI Rang]],$P$15:$Q$110,2,0)*H$5,"")</f>
        <v/>
      </c>
      <c r="I171" s="109">
        <f>IFERROR(VLOOKUP(Mixed[[#This Row],[TS BE MI Rang]],$P$15:$Q$110,2,0)*I$5,"")</f>
        <v>38</v>
      </c>
      <c r="J171" s="109" t="str">
        <f>IFERROR(VLOOKUP(Mixed[[#This Row],[TS BA Mi 07.05.22 Rang]],$P$15:$Q$110,2,0)*J$5,"")</f>
        <v/>
      </c>
      <c r="K171" s="211" t="s">
        <v>434</v>
      </c>
      <c r="L171" s="211" t="s">
        <v>434</v>
      </c>
      <c r="M171" s="211">
        <v>33</v>
      </c>
      <c r="N171" s="213"/>
    </row>
    <row r="172" spans="1:14" x14ac:dyDescent="0.2">
      <c r="A172" s="34">
        <f>RANK(F172,$F$7:$F$172,0)</f>
        <v>160</v>
      </c>
      <c r="B172" s="1" t="s">
        <v>364</v>
      </c>
      <c r="C172" s="1" t="s">
        <v>11</v>
      </c>
      <c r="D172" s="27" t="str">
        <f>IFERROR(IF(IFERROR(VLOOKUP(Mixed[[#This Row],[Name]],'&gt; Women &lt;'!A$7:K$517,4,0),0)&gt;0, VLOOKUP(Mixed[[#This Row],[Name]],'&gt; Women &lt;'!A$7:K$503,4,0),VLOOKUP(Mixed[[#This Row],[Name]],'&gt; Open &lt;'!A$7:K$586,4,0)), " ")</f>
        <v xml:space="preserve"> </v>
      </c>
      <c r="E172" s="27" t="str">
        <f>IFERROR(VLOOKUP(B172,IF(IFERROR(VLOOKUP(B172,'&gt; Women &lt;'!$D$7:$F$1014,2,0),0)&gt;1,'&gt; Women &lt;'!$D$7:$H$1014,'&gt; Open &lt;'!$D$7:$H$1044),3,0)," ")</f>
        <v xml:space="preserve"> </v>
      </c>
      <c r="F172" s="110">
        <f>SUM(G172:J172)</f>
        <v>38</v>
      </c>
      <c r="G172" s="110" t="str">
        <f>IFERROR(VLOOKUP(Mixed[[#This Row],[SM PO MI Rang]],$P$15:$Q$110,2,0)*G$5,"")</f>
        <v/>
      </c>
      <c r="H172" s="110" t="str">
        <f>IFERROR(VLOOKUP(Mixed[[#This Row],[TS SH MI Rang]],$P$15:$Q$110,2,0)*H$5,"")</f>
        <v/>
      </c>
      <c r="I172" s="110">
        <f>IFERROR(VLOOKUP(Mixed[[#This Row],[TS BE MI Rang]],$P$15:$Q$110,2,0)*I$5,"")</f>
        <v>38</v>
      </c>
      <c r="J172" s="109" t="str">
        <f>IFERROR(VLOOKUP(Mixed[[#This Row],[TS BA Mi 07.05.22 Rang]],$P$15:$Q$110,2,0)*J$5,"")</f>
        <v/>
      </c>
      <c r="K172" s="211" t="s">
        <v>434</v>
      </c>
      <c r="L172" s="211" t="s">
        <v>434</v>
      </c>
      <c r="M172" s="211">
        <v>33</v>
      </c>
      <c r="N172" s="213"/>
    </row>
  </sheetData>
  <sheetProtection selectLockedCells="1" sort="0" autoFilter="0"/>
  <mergeCells count="5">
    <mergeCell ref="P14:Q14"/>
    <mergeCell ref="K1:M2"/>
    <mergeCell ref="G1:I2"/>
    <mergeCell ref="A1:F2"/>
    <mergeCell ref="T15:AB15"/>
  </mergeCells>
  <phoneticPr fontId="11" type="noConversion"/>
  <conditionalFormatting sqref="B9">
    <cfRule type="duplicateValues" dxfId="79" priority="68"/>
  </conditionalFormatting>
  <conditionalFormatting sqref="B11">
    <cfRule type="duplicateValues" dxfId="78" priority="67"/>
  </conditionalFormatting>
  <conditionalFormatting sqref="B13">
    <cfRule type="duplicateValues" dxfId="77" priority="66"/>
  </conditionalFormatting>
  <conditionalFormatting sqref="B7">
    <cfRule type="duplicateValues" dxfId="76" priority="65"/>
  </conditionalFormatting>
  <conditionalFormatting sqref="B15">
    <cfRule type="duplicateValues" dxfId="75" priority="64"/>
  </conditionalFormatting>
  <conditionalFormatting sqref="B18">
    <cfRule type="duplicateValues" dxfId="74" priority="62"/>
  </conditionalFormatting>
  <conditionalFormatting sqref="B20">
    <cfRule type="duplicateValues" dxfId="73" priority="61"/>
  </conditionalFormatting>
  <conditionalFormatting sqref="B23">
    <cfRule type="duplicateValues" dxfId="72" priority="60"/>
  </conditionalFormatting>
  <conditionalFormatting sqref="B37">
    <cfRule type="duplicateValues" dxfId="71" priority="59"/>
  </conditionalFormatting>
  <conditionalFormatting sqref="B44">
    <cfRule type="duplicateValues" dxfId="70" priority="57"/>
  </conditionalFormatting>
  <conditionalFormatting sqref="B100">
    <cfRule type="duplicateValues" dxfId="69" priority="44"/>
  </conditionalFormatting>
  <conditionalFormatting sqref="B102">
    <cfRule type="duplicateValues" dxfId="68" priority="43"/>
  </conditionalFormatting>
  <conditionalFormatting sqref="B104">
    <cfRule type="duplicateValues" dxfId="67" priority="42"/>
  </conditionalFormatting>
  <conditionalFormatting sqref="B105">
    <cfRule type="duplicateValues" dxfId="66" priority="41"/>
  </conditionalFormatting>
  <conditionalFormatting sqref="B107">
    <cfRule type="duplicateValues" dxfId="65" priority="40"/>
  </conditionalFormatting>
  <conditionalFormatting sqref="B119">
    <cfRule type="duplicateValues" dxfId="64" priority="34"/>
  </conditionalFormatting>
  <conditionalFormatting sqref="B121">
    <cfRule type="duplicateValues" dxfId="63" priority="33"/>
  </conditionalFormatting>
  <conditionalFormatting sqref="B123">
    <cfRule type="duplicateValues" dxfId="62" priority="32"/>
  </conditionalFormatting>
  <conditionalFormatting sqref="B125">
    <cfRule type="duplicateValues" dxfId="61" priority="31"/>
  </conditionalFormatting>
  <conditionalFormatting sqref="B128">
    <cfRule type="duplicateValues" dxfId="60" priority="30"/>
  </conditionalFormatting>
  <conditionalFormatting sqref="B130">
    <cfRule type="duplicateValues" dxfId="59" priority="29"/>
  </conditionalFormatting>
  <conditionalFormatting sqref="B132">
    <cfRule type="duplicateValues" dxfId="58" priority="28"/>
  </conditionalFormatting>
  <conditionalFormatting sqref="B134">
    <cfRule type="duplicateValues" dxfId="57" priority="27"/>
  </conditionalFormatting>
  <conditionalFormatting sqref="B136">
    <cfRule type="duplicateValues" dxfId="56" priority="26"/>
  </conditionalFormatting>
  <conditionalFormatting sqref="B138">
    <cfRule type="duplicateValues" dxfId="55" priority="25"/>
  </conditionalFormatting>
  <conditionalFormatting sqref="B140">
    <cfRule type="duplicateValues" dxfId="54" priority="24"/>
  </conditionalFormatting>
  <conditionalFormatting sqref="B143">
    <cfRule type="duplicateValues" dxfId="53" priority="23"/>
  </conditionalFormatting>
  <conditionalFormatting sqref="B145">
    <cfRule type="duplicateValues" dxfId="52" priority="22"/>
  </conditionalFormatting>
  <conditionalFormatting sqref="B147">
    <cfRule type="duplicateValues" dxfId="51" priority="21"/>
  </conditionalFormatting>
  <conditionalFormatting sqref="C3:C1048576">
    <cfRule type="containsText" dxfId="50" priority="3" operator="containsText" text="Internat">
      <formula>NOT(ISERROR(SEARCH("Internat",C3)))</formula>
    </cfRule>
  </conditionalFormatting>
  <conditionalFormatting sqref="B110">
    <cfRule type="expression" dxfId="49" priority="11">
      <formula>VLOOKUP($B110,#REF!,3,0)=$C110</formula>
    </cfRule>
  </conditionalFormatting>
  <conditionalFormatting sqref="B111">
    <cfRule type="expression" dxfId="48" priority="10">
      <formula>VLOOKUP($B111,#REF!,3,0)=$C111</formula>
    </cfRule>
  </conditionalFormatting>
  <conditionalFormatting sqref="B112">
    <cfRule type="expression" dxfId="47" priority="9">
      <formula>VLOOKUP($B112,#REF!,3,0)=$C112</formula>
    </cfRule>
  </conditionalFormatting>
  <conditionalFormatting sqref="B114">
    <cfRule type="expression" dxfId="46" priority="7">
      <formula>VLOOKUP($B114,#REF!,3,0)=$C114</formula>
    </cfRule>
  </conditionalFormatting>
  <conditionalFormatting sqref="B115">
    <cfRule type="expression" dxfId="45" priority="6">
      <formula>VLOOKUP($B115,#REF!,3,0)=$C115</formula>
    </cfRule>
  </conditionalFormatting>
  <conditionalFormatting sqref="B117">
    <cfRule type="expression" dxfId="44" priority="4">
      <formula>VLOOKUP($B117,#REF!,3,0)=$C117</formula>
    </cfRule>
  </conditionalFormatting>
  <conditionalFormatting sqref="B109 B113 B116">
    <cfRule type="expression" dxfId="43" priority="202">
      <formula>VLOOKUP($B109,#REF!,4,0)=#REF!</formula>
    </cfRule>
  </conditionalFormatting>
  <conditionalFormatting sqref="B46:B56">
    <cfRule type="expression" dxfId="42" priority="220">
      <formula>VLOOKUP(#REF!,$B$7:$F$99,3,0)&gt;0</formula>
    </cfRule>
  </conditionalFormatting>
  <conditionalFormatting sqref="B57:B62 B64:B76">
    <cfRule type="expression" dxfId="41" priority="221">
      <formula>VLOOKUP(#REF!,#REF!,3,0)&gt;0</formula>
    </cfRule>
  </conditionalFormatting>
  <conditionalFormatting sqref="B36:B39">
    <cfRule type="expression" dxfId="40" priority="241">
      <formula>VLOOKUP($C36,$B$7:$F$79,3,0)&gt;0</formula>
    </cfRule>
  </conditionalFormatting>
  <conditionalFormatting sqref="B40:B44">
    <cfRule type="expression" dxfId="39" priority="242">
      <formula>VLOOKUP($G40,$B$7:$F$49,3,0)&gt;0</formula>
    </cfRule>
  </conditionalFormatting>
  <conditionalFormatting sqref="B57:B62 B94:B97">
    <cfRule type="expression" dxfId="38" priority="246">
      <formula>VLOOKUP(#REF!,$B$7:$F$172,3,0)&gt;0</formula>
    </cfRule>
  </conditionalFormatting>
  <conditionalFormatting sqref="B64:B76">
    <cfRule type="expression" dxfId="37" priority="248">
      <formula>VLOOKUP(#REF!,$B$7:$F$285,3,0)&gt;0</formula>
    </cfRule>
  </conditionalFormatting>
  <conditionalFormatting sqref="B1:B1048576">
    <cfRule type="duplicateValues" dxfId="36" priority="1"/>
  </conditionalFormatting>
  <pageMargins left="0.7" right="0.7" top="0.78740157499999996" bottom="0.78740157499999996" header="0.3" footer="0.3"/>
  <pageSetup paperSize="9" scale="10" orientation="landscape" horizontalDpi="0" verticalDpi="0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 &amp; Infos</vt:lpstr>
      <vt:lpstr>&gt; Open &lt;</vt:lpstr>
      <vt:lpstr>&gt; Women &lt;</vt:lpstr>
      <vt:lpstr>&gt; Mixed &lt;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Mueller</dc:creator>
  <cp:lastModifiedBy>Microsoft Office User</cp:lastModifiedBy>
  <cp:lastPrinted>2022-02-23T16:17:21Z</cp:lastPrinted>
  <dcterms:created xsi:type="dcterms:W3CDTF">2021-06-14T13:05:58Z</dcterms:created>
  <dcterms:modified xsi:type="dcterms:W3CDTF">2022-07-12T21:15:47Z</dcterms:modified>
</cp:coreProperties>
</file>